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\Documents\DOMI\AFETI\FEI Projet 55\Blackboard\"/>
    </mc:Choice>
  </mc:AlternateContent>
  <bookViews>
    <workbookView xWindow="7455" yWindow="1020" windowWidth="14910" windowHeight="8130" activeTab="2"/>
  </bookViews>
  <sheets>
    <sheet name="Logigramme" sheetId="11" r:id="rId1"/>
    <sheet name="Zone encombrée" sheetId="6" r:id="rId2"/>
    <sheet name="UVCE" sheetId="1" r:id="rId3"/>
    <sheet name="Feuil2" sheetId="9" state="hidden" r:id="rId4"/>
    <sheet name="Scénarii" sheetId="8" state="hidden" r:id="rId5"/>
    <sheet name="Bd" sheetId="3" r:id="rId6"/>
    <sheet name="Indice" sheetId="4" state="hidden" r:id="rId7"/>
    <sheet name="Feuil3" sheetId="7" state="hidden" r:id="rId8"/>
  </sheets>
  <definedNames>
    <definedName name="Ind">Indice!$B:$B</definedName>
    <definedName name="Indice">Indice!$B:$B</definedName>
    <definedName name="nom">Bd!$A:$A</definedName>
    <definedName name="tx_recouvrement">Bd!$AA:$AA</definedName>
    <definedName name="typo_zone">Bd!$Z:$Z</definedName>
    <definedName name="val_indice">Bd!$W:$W</definedName>
    <definedName name="_xlnm.Print_Area" localSheetId="5">Bd!$A$1:$L$22</definedName>
    <definedName name="_xlnm.Print_Area" localSheetId="6">Indice!$A$1:$AF$72</definedName>
    <definedName name="_xlnm.Print_Area" localSheetId="0">Logigramme!$A$1:$R$78</definedName>
    <definedName name="_xlnm.Print_Area" localSheetId="2">UVCE!$B$1:$V$103</definedName>
  </definedNames>
  <calcPr calcId="152511"/>
</workbook>
</file>

<file path=xl/calcChain.xml><?xml version="1.0" encoding="utf-8"?>
<calcChain xmlns="http://schemas.openxmlformats.org/spreadsheetml/2006/main">
  <c r="D35" i="1" l="1"/>
  <c r="L7" i="3"/>
  <c r="B32" i="1"/>
  <c r="N11" i="1"/>
  <c r="N12" i="1"/>
  <c r="N13" i="1"/>
  <c r="N14" i="1"/>
  <c r="N15" i="1"/>
  <c r="N16" i="1"/>
  <c r="N17" i="1"/>
  <c r="M12" i="1"/>
  <c r="M13" i="1"/>
  <c r="M14" i="1"/>
  <c r="M15" i="1"/>
  <c r="M16" i="1"/>
  <c r="M17" i="1"/>
  <c r="M11" i="1"/>
  <c r="M19" i="1"/>
  <c r="K19" i="1"/>
  <c r="J19" i="1"/>
  <c r="K11" i="1"/>
  <c r="K12" i="1"/>
  <c r="K13" i="1"/>
  <c r="K14" i="1"/>
  <c r="K15" i="1"/>
  <c r="K16" i="1"/>
  <c r="K17" i="1"/>
  <c r="K18" i="1"/>
  <c r="J14" i="1"/>
  <c r="J15" i="1"/>
  <c r="J16" i="1"/>
  <c r="J17" i="1"/>
  <c r="J18" i="1"/>
  <c r="J12" i="1"/>
  <c r="J13" i="1"/>
  <c r="J11" i="1"/>
  <c r="D17" i="1" l="1"/>
  <c r="T15" i="1"/>
  <c r="H35" i="1"/>
  <c r="AE19" i="1" s="1"/>
  <c r="T45" i="1"/>
  <c r="T43" i="1"/>
  <c r="T41" i="1"/>
  <c r="H7" i="1"/>
  <c r="AL36" i="4"/>
  <c r="AL37" i="4"/>
  <c r="AL38" i="4"/>
  <c r="AL39" i="4"/>
  <c r="AL40" i="4"/>
  <c r="AL41" i="4"/>
  <c r="AL42" i="4"/>
  <c r="AL43" i="4"/>
  <c r="AL44" i="4"/>
  <c r="AL45" i="4"/>
  <c r="AL46" i="4"/>
  <c r="I34" i="6"/>
  <c r="I35" i="6"/>
  <c r="I36" i="6"/>
  <c r="I37" i="6"/>
  <c r="I38" i="6"/>
  <c r="I33" i="6"/>
  <c r="I39" i="6" s="1"/>
  <c r="I42" i="6"/>
  <c r="N34" i="6"/>
  <c r="N35" i="6"/>
  <c r="N36" i="6"/>
  <c r="N37" i="6"/>
  <c r="N38" i="6"/>
  <c r="G12" i="9"/>
  <c r="G11" i="9"/>
  <c r="G10" i="9"/>
  <c r="G9" i="9"/>
  <c r="G8" i="9"/>
  <c r="G7" i="9"/>
  <c r="G5" i="9"/>
  <c r="G6" i="9"/>
  <c r="G4" i="9"/>
  <c r="N19" i="1"/>
  <c r="N18" i="1"/>
  <c r="M18" i="1"/>
  <c r="S96" i="1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G25" i="7"/>
  <c r="G24" i="7"/>
  <c r="C25" i="7"/>
  <c r="C26" i="7"/>
  <c r="C27" i="7"/>
  <c r="C24" i="7"/>
  <c r="D25" i="7"/>
  <c r="D26" i="7"/>
  <c r="D27" i="7"/>
  <c r="D24" i="7"/>
  <c r="H24" i="7"/>
  <c r="H25" i="7"/>
  <c r="H26" i="7"/>
  <c r="L26" i="7"/>
  <c r="K26" i="7"/>
  <c r="J26" i="7"/>
  <c r="I26" i="7"/>
  <c r="L25" i="7"/>
  <c r="K25" i="7"/>
  <c r="J25" i="7"/>
  <c r="I25" i="7"/>
  <c r="L24" i="7"/>
  <c r="K24" i="7"/>
  <c r="J24" i="7"/>
  <c r="I24" i="7"/>
  <c r="AD27" i="7"/>
  <c r="M24" i="7"/>
  <c r="M25" i="7"/>
  <c r="M26" i="7"/>
  <c r="L23" i="7"/>
  <c r="M23" i="7"/>
  <c r="L22" i="7"/>
  <c r="L21" i="7"/>
  <c r="L20" i="7"/>
  <c r="L19" i="7"/>
  <c r="L18" i="7"/>
  <c r="Q23" i="7"/>
  <c r="R21" i="7"/>
  <c r="R22" i="7"/>
  <c r="U23" i="7"/>
  <c r="U22" i="7"/>
  <c r="U21" i="7"/>
  <c r="U20" i="7"/>
  <c r="U19" i="7"/>
  <c r="C18" i="7"/>
  <c r="D18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S27" i="7"/>
  <c r="T27" i="7"/>
  <c r="U27" i="7"/>
  <c r="V27" i="7"/>
  <c r="W27" i="7"/>
  <c r="X27" i="7"/>
  <c r="Y27" i="7"/>
  <c r="Z27" i="7"/>
  <c r="AA27" i="7"/>
  <c r="AB27" i="7"/>
  <c r="AC27" i="7"/>
  <c r="N30" i="7"/>
  <c r="M31" i="7"/>
  <c r="N31" i="7" s="1"/>
  <c r="G26" i="7"/>
  <c r="F25" i="7"/>
  <c r="F26" i="7"/>
  <c r="F24" i="7"/>
  <c r="E24" i="7"/>
  <c r="E25" i="7"/>
  <c r="E26" i="7"/>
  <c r="I19" i="7"/>
  <c r="J19" i="7"/>
  <c r="K19" i="7"/>
  <c r="M19" i="7"/>
  <c r="N19" i="7"/>
  <c r="O19" i="7"/>
  <c r="P19" i="7"/>
  <c r="Q19" i="7"/>
  <c r="R19" i="7"/>
  <c r="S19" i="7"/>
  <c r="T19" i="7"/>
  <c r="V19" i="7"/>
  <c r="W19" i="7"/>
  <c r="X19" i="7"/>
  <c r="Y19" i="7"/>
  <c r="Z19" i="7"/>
  <c r="AA19" i="7"/>
  <c r="AB19" i="7"/>
  <c r="AC19" i="7"/>
  <c r="AD19" i="7"/>
  <c r="I20" i="7"/>
  <c r="J20" i="7"/>
  <c r="K20" i="7"/>
  <c r="M20" i="7"/>
  <c r="N20" i="7"/>
  <c r="O20" i="7"/>
  <c r="P20" i="7"/>
  <c r="Q20" i="7"/>
  <c r="R20" i="7"/>
  <c r="S20" i="7"/>
  <c r="T20" i="7"/>
  <c r="V20" i="7"/>
  <c r="W20" i="7"/>
  <c r="X20" i="7"/>
  <c r="Y20" i="7"/>
  <c r="Z20" i="7"/>
  <c r="AA20" i="7"/>
  <c r="AB20" i="7"/>
  <c r="AC20" i="7"/>
  <c r="AD20" i="7"/>
  <c r="I21" i="7"/>
  <c r="J21" i="7"/>
  <c r="K21" i="7"/>
  <c r="M21" i="7"/>
  <c r="N21" i="7"/>
  <c r="O21" i="7"/>
  <c r="P21" i="7"/>
  <c r="Q21" i="7"/>
  <c r="S21" i="7"/>
  <c r="T21" i="7"/>
  <c r="V21" i="7"/>
  <c r="W21" i="7"/>
  <c r="X21" i="7"/>
  <c r="Y21" i="7"/>
  <c r="Z21" i="7"/>
  <c r="AA21" i="7"/>
  <c r="AB21" i="7"/>
  <c r="AC21" i="7"/>
  <c r="AD21" i="7"/>
  <c r="I22" i="7"/>
  <c r="J22" i="7"/>
  <c r="K22" i="7"/>
  <c r="M22" i="7"/>
  <c r="N22" i="7"/>
  <c r="O22" i="7"/>
  <c r="P22" i="7"/>
  <c r="Q22" i="7"/>
  <c r="S22" i="7"/>
  <c r="T22" i="7"/>
  <c r="V22" i="7"/>
  <c r="W22" i="7"/>
  <c r="X22" i="7"/>
  <c r="Y22" i="7"/>
  <c r="Z22" i="7"/>
  <c r="AA22" i="7"/>
  <c r="AB22" i="7"/>
  <c r="AC22" i="7"/>
  <c r="AD22" i="7"/>
  <c r="I23" i="7"/>
  <c r="J23" i="7"/>
  <c r="K23" i="7"/>
  <c r="N23" i="7"/>
  <c r="O23" i="7"/>
  <c r="P23" i="7"/>
  <c r="R23" i="7"/>
  <c r="S23" i="7"/>
  <c r="T23" i="7"/>
  <c r="V23" i="7"/>
  <c r="W23" i="7"/>
  <c r="X23" i="7"/>
  <c r="Y23" i="7"/>
  <c r="Z23" i="7"/>
  <c r="AA23" i="7"/>
  <c r="AB23" i="7"/>
  <c r="AC23" i="7"/>
  <c r="AD23" i="7"/>
  <c r="H23" i="7"/>
  <c r="H22" i="7"/>
  <c r="H21" i="7"/>
  <c r="H20" i="7"/>
  <c r="H19" i="7"/>
  <c r="I18" i="7"/>
  <c r="J18" i="7"/>
  <c r="K18" i="7"/>
  <c r="M18" i="7"/>
  <c r="N18" i="7"/>
  <c r="O18" i="7"/>
  <c r="P18" i="7"/>
  <c r="Q18" i="7"/>
  <c r="R18" i="7"/>
  <c r="H18" i="7"/>
  <c r="E18" i="7"/>
  <c r="F18" i="7"/>
  <c r="G18" i="7"/>
  <c r="AB72" i="1"/>
  <c r="H9" i="1"/>
  <c r="D19" i="1" s="1"/>
  <c r="Q39" i="6"/>
  <c r="N33" i="6"/>
  <c r="AI17" i="1"/>
  <c r="AI15" i="1"/>
  <c r="AI13" i="1"/>
  <c r="AI11" i="1"/>
  <c r="AE11" i="1"/>
  <c r="AE13" i="1" s="1"/>
  <c r="AE15" i="1"/>
  <c r="AE29" i="1"/>
  <c r="H11" i="3"/>
  <c r="H9" i="3"/>
  <c r="H8" i="3"/>
  <c r="H6" i="3"/>
  <c r="T13" i="1"/>
  <c r="N39" i="6" l="1"/>
  <c r="N29" i="6" s="1"/>
  <c r="R29" i="6" s="1"/>
  <c r="D21" i="1"/>
  <c r="C40" i="4"/>
  <c r="C17" i="4"/>
  <c r="A7" i="4"/>
  <c r="C51" i="4"/>
  <c r="C24" i="4"/>
  <c r="C43" i="4"/>
  <c r="C16" i="4"/>
  <c r="C28" i="4"/>
  <c r="A6" i="4"/>
  <c r="C47" i="4"/>
  <c r="C39" i="4"/>
  <c r="C32" i="4"/>
  <c r="C55" i="4"/>
  <c r="A10" i="4"/>
  <c r="C20" i="4"/>
  <c r="A8" i="4"/>
  <c r="A12" i="4"/>
  <c r="A4" i="4"/>
  <c r="A9" i="4"/>
  <c r="A13" i="4"/>
  <c r="A11" i="4"/>
  <c r="A5" i="4"/>
  <c r="T17" i="1" l="1"/>
  <c r="T19" i="1"/>
  <c r="E57" i="1" s="1"/>
  <c r="U24" i="4"/>
  <c r="U26" i="4" s="1"/>
  <c r="Y24" i="4"/>
  <c r="Y26" i="4" s="1"/>
  <c r="AD24" i="4"/>
  <c r="AD26" i="4" s="1"/>
  <c r="AE24" i="4"/>
  <c r="AE26" i="4" s="1"/>
  <c r="E24" i="4"/>
  <c r="E26" i="4" s="1"/>
  <c r="V24" i="4"/>
  <c r="V26" i="4" s="1"/>
  <c r="M24" i="4"/>
  <c r="M26" i="4" s="1"/>
  <c r="I24" i="4"/>
  <c r="I26" i="4" s="1"/>
  <c r="T24" i="4"/>
  <c r="T26" i="4" s="1"/>
  <c r="K24" i="4"/>
  <c r="K26" i="4" s="1"/>
  <c r="O24" i="4"/>
  <c r="O26" i="4" s="1"/>
  <c r="X24" i="4"/>
  <c r="X26" i="4" s="1"/>
  <c r="AC24" i="4"/>
  <c r="AC26" i="4" s="1"/>
  <c r="F24" i="4"/>
  <c r="F26" i="4" s="1"/>
  <c r="D24" i="4"/>
  <c r="D26" i="4" s="1"/>
  <c r="H24" i="4"/>
  <c r="H26" i="4" s="1"/>
  <c r="Z24" i="4"/>
  <c r="Z26" i="4" s="1"/>
  <c r="P24" i="4"/>
  <c r="P26" i="4" s="1"/>
  <c r="AA24" i="4"/>
  <c r="AA26" i="4" s="1"/>
  <c r="L24" i="4"/>
  <c r="L26" i="4" s="1"/>
  <c r="R24" i="4"/>
  <c r="R26" i="4" s="1"/>
  <c r="N24" i="4"/>
  <c r="N26" i="4" s="1"/>
  <c r="AB24" i="4"/>
  <c r="AB26" i="4" s="1"/>
  <c r="Q24" i="4"/>
  <c r="Q26" i="4" s="1"/>
  <c r="J24" i="4"/>
  <c r="J26" i="4" s="1"/>
  <c r="S24" i="4"/>
  <c r="S26" i="4" s="1"/>
  <c r="W24" i="4"/>
  <c r="W26" i="4" s="1"/>
  <c r="G24" i="4"/>
  <c r="G26" i="4" s="1"/>
  <c r="W39" i="4"/>
  <c r="W41" i="4" s="1"/>
  <c r="O39" i="4"/>
  <c r="O41" i="4" s="1"/>
  <c r="AB47" i="4"/>
  <c r="AB49" i="4" s="1"/>
  <c r="K43" i="4"/>
  <c r="K45" i="4" s="1"/>
  <c r="I51" i="4"/>
  <c r="I53" i="4" s="1"/>
  <c r="D39" i="4"/>
  <c r="D41" i="4" s="1"/>
  <c r="I39" i="4"/>
  <c r="I41" i="4" s="1"/>
  <c r="F51" i="4"/>
  <c r="F53" i="4" s="1"/>
  <c r="X43" i="4"/>
  <c r="X45" i="4" s="1"/>
  <c r="Z39" i="4"/>
  <c r="Z41" i="4" s="1"/>
  <c r="G39" i="4"/>
  <c r="G41" i="4" s="1"/>
  <c r="T47" i="4"/>
  <c r="T49" i="4" s="1"/>
  <c r="AA39" i="4"/>
  <c r="AA41" i="4" s="1"/>
  <c r="J51" i="4"/>
  <c r="J53" i="4" s="1"/>
  <c r="I47" i="4"/>
  <c r="I49" i="4" s="1"/>
  <c r="H43" i="4"/>
  <c r="H45" i="4" s="1"/>
  <c r="L39" i="4"/>
  <c r="L41" i="4" s="1"/>
  <c r="S51" i="4"/>
  <c r="S53" i="4" s="1"/>
  <c r="AD47" i="4"/>
  <c r="AD49" i="4" s="1"/>
  <c r="N47" i="4"/>
  <c r="N49" i="4" s="1"/>
  <c r="Y43" i="4"/>
  <c r="Y45" i="4" s="1"/>
  <c r="I43" i="4"/>
  <c r="I45" i="4" s="1"/>
  <c r="M39" i="4"/>
  <c r="M41" i="4" s="1"/>
  <c r="F39" i="4"/>
  <c r="F41" i="4" s="1"/>
  <c r="O43" i="4"/>
  <c r="O45" i="4" s="1"/>
  <c r="AA43" i="4"/>
  <c r="AA45" i="4" s="1"/>
  <c r="P39" i="4"/>
  <c r="P41" i="4" s="1"/>
  <c r="N51" i="4"/>
  <c r="N53" i="4" s="1"/>
  <c r="L51" i="4"/>
  <c r="L53" i="4" s="1"/>
  <c r="K47" i="4"/>
  <c r="K49" i="4" s="1"/>
  <c r="F43" i="4"/>
  <c r="F45" i="4" s="1"/>
  <c r="D47" i="4"/>
  <c r="D49" i="4" s="1"/>
  <c r="AE39" i="4"/>
  <c r="AE41" i="4" s="1"/>
  <c r="M47" i="4"/>
  <c r="M49" i="4" s="1"/>
  <c r="T39" i="4"/>
  <c r="T41" i="4" s="1"/>
  <c r="G51" i="4"/>
  <c r="G53" i="4" s="1"/>
  <c r="AC43" i="4"/>
  <c r="AC45" i="4" s="1"/>
  <c r="U39" i="4"/>
  <c r="U41" i="4" s="1"/>
  <c r="P51" i="4"/>
  <c r="P53" i="4" s="1"/>
  <c r="O47" i="4"/>
  <c r="O49" i="4" s="1"/>
  <c r="J43" i="4"/>
  <c r="J45" i="4" s="1"/>
  <c r="Q51" i="4"/>
  <c r="Q53" i="4" s="1"/>
  <c r="K39" i="4"/>
  <c r="K41" i="4" s="1"/>
  <c r="AD51" i="4"/>
  <c r="AD53" i="4" s="1"/>
  <c r="P43" i="4"/>
  <c r="P45" i="4" s="1"/>
  <c r="AA47" i="4"/>
  <c r="AA49" i="4" s="1"/>
  <c r="V43" i="4"/>
  <c r="V45" i="4" s="1"/>
  <c r="G43" i="4"/>
  <c r="G45" i="4" s="1"/>
  <c r="AC47" i="4"/>
  <c r="AC49" i="4" s="1"/>
  <c r="D43" i="4"/>
  <c r="D45" i="4" s="1"/>
  <c r="O51" i="4"/>
  <c r="O53" i="4" s="1"/>
  <c r="J47" i="4"/>
  <c r="J49" i="4" s="1"/>
  <c r="E43" i="4"/>
  <c r="E45" i="4" s="1"/>
  <c r="T51" i="4"/>
  <c r="T53" i="4" s="1"/>
  <c r="S47" i="4"/>
  <c r="S49" i="4" s="1"/>
  <c r="N43" i="4"/>
  <c r="N45" i="4" s="1"/>
  <c r="Q47" i="4"/>
  <c r="Q49" i="4" s="1"/>
  <c r="Q43" i="4"/>
  <c r="Q45" i="4" s="1"/>
  <c r="Q39" i="4"/>
  <c r="Q41" i="4" s="1"/>
  <c r="R43" i="4"/>
  <c r="R45" i="4" s="1"/>
  <c r="S39" i="4"/>
  <c r="S41" i="4" s="1"/>
  <c r="L43" i="4"/>
  <c r="L45" i="4" s="1"/>
  <c r="R47" i="4"/>
  <c r="R49" i="4" s="1"/>
  <c r="AB51" i="4"/>
  <c r="AB53" i="4" s="1"/>
  <c r="AD43" i="4"/>
  <c r="AD45" i="4" s="1"/>
  <c r="L47" i="4"/>
  <c r="L49" i="4" s="1"/>
  <c r="Y47" i="4"/>
  <c r="Y49" i="4" s="1"/>
  <c r="G47" i="4"/>
  <c r="G49" i="4" s="1"/>
  <c r="E51" i="4"/>
  <c r="E53" i="4" s="1"/>
  <c r="AE51" i="4"/>
  <c r="AE53" i="4" s="1"/>
  <c r="U43" i="4"/>
  <c r="U45" i="4" s="1"/>
  <c r="AE47" i="4"/>
  <c r="AE49" i="4" s="1"/>
  <c r="N39" i="4"/>
  <c r="N41" i="4" s="1"/>
  <c r="P47" i="4"/>
  <c r="P49" i="4" s="1"/>
  <c r="AE43" i="4"/>
  <c r="AE45" i="4" s="1"/>
  <c r="AC51" i="4"/>
  <c r="AC53" i="4" s="1"/>
  <c r="H47" i="4"/>
  <c r="H49" i="4" s="1"/>
  <c r="X39" i="4"/>
  <c r="X41" i="4" s="1"/>
  <c r="Y39" i="4"/>
  <c r="Y41" i="4" s="1"/>
  <c r="V51" i="4"/>
  <c r="V53" i="4" s="1"/>
  <c r="H39" i="4"/>
  <c r="H41" i="4" s="1"/>
  <c r="J39" i="4"/>
  <c r="J41" i="4" s="1"/>
  <c r="W43" i="4"/>
  <c r="W45" i="4" s="1"/>
  <c r="U51" i="4"/>
  <c r="U53" i="4" s="1"/>
  <c r="Z51" i="4"/>
  <c r="Z53" i="4" s="1"/>
  <c r="U47" i="4"/>
  <c r="U49" i="4" s="1"/>
  <c r="T43" i="4"/>
  <c r="T45" i="4" s="1"/>
  <c r="AB39" i="4"/>
  <c r="AB41" i="4" s="1"/>
  <c r="AA51" i="4"/>
  <c r="AA53" i="4" s="1"/>
  <c r="K51" i="4"/>
  <c r="K53" i="4" s="1"/>
  <c r="V47" i="4"/>
  <c r="V49" i="4" s="1"/>
  <c r="F47" i="4"/>
  <c r="F49" i="4" s="1"/>
  <c r="AC39" i="4"/>
  <c r="AC41" i="4" s="1"/>
  <c r="X51" i="4"/>
  <c r="X53" i="4" s="1"/>
  <c r="S43" i="4"/>
  <c r="S45" i="4" s="1"/>
  <c r="M51" i="4"/>
  <c r="M53" i="4" s="1"/>
  <c r="Y51" i="4"/>
  <c r="Y53" i="4" s="1"/>
  <c r="E47" i="4"/>
  <c r="E49" i="4" s="1"/>
  <c r="W47" i="4"/>
  <c r="W49" i="4" s="1"/>
  <c r="R39" i="4"/>
  <c r="R41" i="4" s="1"/>
  <c r="R51" i="4"/>
  <c r="R53" i="4" s="1"/>
  <c r="W51" i="4"/>
  <c r="W53" i="4" s="1"/>
  <c r="M43" i="4"/>
  <c r="M45" i="4" s="1"/>
  <c r="D51" i="4"/>
  <c r="D53" i="4" s="1"/>
  <c r="V39" i="4"/>
  <c r="V41" i="4" s="1"/>
  <c r="X47" i="4"/>
  <c r="X49" i="4" s="1"/>
  <c r="H51" i="4"/>
  <c r="H53" i="4" s="1"/>
  <c r="AD39" i="4"/>
  <c r="AD41" i="4" s="1"/>
  <c r="AB43" i="4"/>
  <c r="AB45" i="4" s="1"/>
  <c r="Z47" i="4"/>
  <c r="Z49" i="4" s="1"/>
  <c r="E39" i="4"/>
  <c r="E41" i="4" s="1"/>
  <c r="Z43" i="4"/>
  <c r="Z45" i="4" s="1"/>
  <c r="D16" i="4"/>
  <c r="D18" i="4" s="1"/>
  <c r="M16" i="4"/>
  <c r="M18" i="4" s="1"/>
  <c r="O16" i="4"/>
  <c r="O18" i="4" s="1"/>
  <c r="G16" i="4"/>
  <c r="G18" i="4" s="1"/>
  <c r="L20" i="4"/>
  <c r="L22" i="4" s="1"/>
  <c r="P20" i="4"/>
  <c r="P22" i="4" s="1"/>
  <c r="H20" i="4"/>
  <c r="H22" i="4" s="1"/>
  <c r="Z16" i="4"/>
  <c r="Z18" i="4" s="1"/>
  <c r="W20" i="4"/>
  <c r="W22" i="4" s="1"/>
  <c r="M20" i="4"/>
  <c r="M22" i="4" s="1"/>
  <c r="R16" i="4"/>
  <c r="R18" i="4" s="1"/>
  <c r="I20" i="4"/>
  <c r="I22" i="4" s="1"/>
  <c r="D20" i="4"/>
  <c r="D22" i="4" s="1"/>
  <c r="AE16" i="4"/>
  <c r="AE18" i="4" s="1"/>
  <c r="X20" i="4"/>
  <c r="X22" i="4" s="1"/>
  <c r="S16" i="4"/>
  <c r="S18" i="4" s="1"/>
  <c r="U20" i="4"/>
  <c r="U22" i="4" s="1"/>
  <c r="L16" i="4"/>
  <c r="L18" i="4" s="1"/>
  <c r="J20" i="4"/>
  <c r="J22" i="4" s="1"/>
  <c r="F20" i="4"/>
  <c r="F22" i="4" s="1"/>
  <c r="W16" i="4"/>
  <c r="W18" i="4" s="1"/>
  <c r="AE20" i="4"/>
  <c r="AE22" i="4" s="1"/>
  <c r="AB20" i="4"/>
  <c r="AB22" i="4" s="1"/>
  <c r="Q16" i="4"/>
  <c r="Q18" i="4" s="1"/>
  <c r="F16" i="4"/>
  <c r="F18" i="4" s="1"/>
  <c r="K16" i="4"/>
  <c r="K18" i="4" s="1"/>
  <c r="AD16" i="4"/>
  <c r="AD18" i="4" s="1"/>
  <c r="X16" i="4"/>
  <c r="X18" i="4" s="1"/>
  <c r="J16" i="4"/>
  <c r="J18" i="4" s="1"/>
  <c r="N16" i="4"/>
  <c r="N18" i="4" s="1"/>
  <c r="AD20" i="4"/>
  <c r="AD22" i="4" s="1"/>
  <c r="I16" i="4"/>
  <c r="I18" i="4" s="1"/>
  <c r="AC16" i="4"/>
  <c r="AC18" i="4" s="1"/>
  <c r="E16" i="4"/>
  <c r="E18" i="4" s="1"/>
  <c r="T20" i="4"/>
  <c r="T22" i="4" s="1"/>
  <c r="G20" i="4"/>
  <c r="G22" i="4" s="1"/>
  <c r="Y16" i="4"/>
  <c r="Y18" i="4" s="1"/>
  <c r="Y20" i="4"/>
  <c r="Y22" i="4" s="1"/>
  <c r="S20" i="4"/>
  <c r="S22" i="4" s="1"/>
  <c r="Z20" i="4"/>
  <c r="Z22" i="4" s="1"/>
  <c r="AA16" i="4"/>
  <c r="AA18" i="4" s="1"/>
  <c r="O20" i="4"/>
  <c r="O22" i="4" s="1"/>
  <c r="K20" i="4"/>
  <c r="K22" i="4" s="1"/>
  <c r="AB16" i="4"/>
  <c r="AB18" i="4" s="1"/>
  <c r="V16" i="4"/>
  <c r="V18" i="4" s="1"/>
  <c r="N20" i="4"/>
  <c r="N22" i="4" s="1"/>
  <c r="E20" i="4"/>
  <c r="E22" i="4" s="1"/>
  <c r="V20" i="4"/>
  <c r="V22" i="4" s="1"/>
  <c r="U16" i="4"/>
  <c r="U18" i="4" s="1"/>
  <c r="AA20" i="4"/>
  <c r="AA22" i="4" s="1"/>
  <c r="P16" i="4"/>
  <c r="P18" i="4" s="1"/>
  <c r="AC20" i="4"/>
  <c r="AC22" i="4" s="1"/>
  <c r="H16" i="4"/>
  <c r="H18" i="4" s="1"/>
  <c r="Q20" i="4"/>
  <c r="Q22" i="4" s="1"/>
  <c r="R20" i="4"/>
  <c r="R22" i="4" s="1"/>
  <c r="T16" i="4"/>
  <c r="T18" i="4" s="1"/>
  <c r="L55" i="4"/>
  <c r="AA55" i="4"/>
  <c r="X32" i="4"/>
  <c r="W32" i="4"/>
  <c r="G55" i="4"/>
  <c r="O32" i="4"/>
  <c r="F32" i="4"/>
  <c r="W55" i="4"/>
  <c r="J32" i="4"/>
  <c r="X55" i="4"/>
  <c r="Y55" i="4"/>
  <c r="Q32" i="4"/>
  <c r="O55" i="4"/>
  <c r="G32" i="4"/>
  <c r="E55" i="4"/>
  <c r="M32" i="4"/>
  <c r="V32" i="4"/>
  <c r="I55" i="4"/>
  <c r="Z55" i="4"/>
  <c r="R32" i="4"/>
  <c r="H32" i="4"/>
  <c r="K55" i="4"/>
  <c r="AB32" i="4"/>
  <c r="K32" i="4"/>
  <c r="F55" i="4"/>
  <c r="Z32" i="4"/>
  <c r="T32" i="4"/>
  <c r="AD55" i="4"/>
  <c r="AD32" i="4"/>
  <c r="N32" i="4"/>
  <c r="V55" i="4"/>
  <c r="E32" i="4"/>
  <c r="J55" i="4"/>
  <c r="I32" i="4"/>
  <c r="S32" i="4"/>
  <c r="R55" i="4"/>
  <c r="U55" i="4"/>
  <c r="L32" i="4"/>
  <c r="P55" i="4"/>
  <c r="M55" i="4"/>
  <c r="AE32" i="4"/>
  <c r="D55" i="4"/>
  <c r="AC55" i="4"/>
  <c r="D32" i="4"/>
  <c r="S55" i="4"/>
  <c r="Y32" i="4"/>
  <c r="T55" i="4"/>
  <c r="Q55" i="4"/>
  <c r="P32" i="4"/>
  <c r="AB55" i="4"/>
  <c r="AA32" i="4"/>
  <c r="AE55" i="4"/>
  <c r="H55" i="4"/>
  <c r="U32" i="4"/>
  <c r="AC32" i="4"/>
  <c r="N55" i="4"/>
  <c r="J28" i="4"/>
  <c r="J30" i="4" s="1"/>
  <c r="AE28" i="4"/>
  <c r="AE30" i="4" s="1"/>
  <c r="X28" i="4"/>
  <c r="X30" i="4" s="1"/>
  <c r="M28" i="4"/>
  <c r="M30" i="4" s="1"/>
  <c r="AA28" i="4"/>
  <c r="AA30" i="4" s="1"/>
  <c r="O28" i="4"/>
  <c r="O30" i="4" s="1"/>
  <c r="D28" i="4"/>
  <c r="D30" i="4" s="1"/>
  <c r="AD28" i="4"/>
  <c r="AD30" i="4" s="1"/>
  <c r="R28" i="4"/>
  <c r="R30" i="4" s="1"/>
  <c r="P28" i="4"/>
  <c r="P30" i="4" s="1"/>
  <c r="I28" i="4"/>
  <c r="I30" i="4" s="1"/>
  <c r="AB28" i="4"/>
  <c r="AB30" i="4" s="1"/>
  <c r="E28" i="4"/>
  <c r="E30" i="4" s="1"/>
  <c r="N28" i="4"/>
  <c r="N30" i="4" s="1"/>
  <c r="K28" i="4"/>
  <c r="K30" i="4" s="1"/>
  <c r="Z28" i="4"/>
  <c r="Z30" i="4" s="1"/>
  <c r="W28" i="4"/>
  <c r="W30" i="4" s="1"/>
  <c r="Q28" i="4"/>
  <c r="Q30" i="4" s="1"/>
  <c r="Y28" i="4"/>
  <c r="Y30" i="4" s="1"/>
  <c r="U28" i="4"/>
  <c r="U30" i="4" s="1"/>
  <c r="H28" i="4"/>
  <c r="H30" i="4" s="1"/>
  <c r="F28" i="4"/>
  <c r="F30" i="4" s="1"/>
  <c r="T28" i="4"/>
  <c r="T30" i="4" s="1"/>
  <c r="V28" i="4"/>
  <c r="V30" i="4" s="1"/>
  <c r="L28" i="4"/>
  <c r="L30" i="4" s="1"/>
  <c r="S28" i="4"/>
  <c r="S30" i="4" s="1"/>
  <c r="G28" i="4"/>
  <c r="G30" i="4" s="1"/>
  <c r="AC28" i="4"/>
  <c r="AC30" i="4" s="1"/>
  <c r="D55" i="1" l="1"/>
  <c r="E55" i="1"/>
  <c r="AF9" i="1" s="1"/>
  <c r="AG9" i="1" s="1"/>
  <c r="AE9" i="1"/>
  <c r="AE7" i="1" s="1"/>
  <c r="AH72" i="1" s="1"/>
  <c r="AH13" i="1"/>
  <c r="D57" i="1"/>
  <c r="AF11" i="1"/>
  <c r="AG11" i="1" s="1"/>
  <c r="AF18" i="4"/>
  <c r="C18" i="4" s="1"/>
  <c r="AG64" i="1" s="1"/>
  <c r="AF22" i="4"/>
  <c r="AF45" i="4"/>
  <c r="C45" i="4" s="1"/>
  <c r="AF41" i="4"/>
  <c r="C41" i="4" s="1"/>
  <c r="AH64" i="1" s="1"/>
  <c r="AF30" i="4"/>
  <c r="AF26" i="4"/>
  <c r="AF53" i="4"/>
  <c r="C53" i="4" s="1"/>
  <c r="AF49" i="4"/>
  <c r="C49" i="4" s="1"/>
  <c r="AE23" i="1" l="1"/>
  <c r="AG23" i="1" s="1"/>
  <c r="AE25" i="1" s="1"/>
  <c r="D43" i="1"/>
  <c r="BZ17" i="1" s="1"/>
  <c r="AI61" i="1"/>
  <c r="AI60" i="1"/>
  <c r="C57" i="4"/>
  <c r="C30" i="4"/>
  <c r="AG34" i="1"/>
  <c r="D49" i="1" s="1"/>
  <c r="AG18" i="4"/>
  <c r="AF34" i="1"/>
  <c r="D47" i="1" s="1"/>
  <c r="BP13" i="1" s="1"/>
  <c r="C26" i="4"/>
  <c r="AE34" i="1"/>
  <c r="D45" i="1" s="1"/>
  <c r="BA11" i="1" s="1"/>
  <c r="C22" i="4"/>
  <c r="C34" i="4"/>
  <c r="S94" i="1"/>
  <c r="AG60" i="1"/>
  <c r="AG61" i="1"/>
  <c r="BV17" i="1" l="1"/>
  <c r="BR17" i="1"/>
  <c r="BO17" i="1"/>
  <c r="BN17" i="1"/>
  <c r="BG17" i="1"/>
  <c r="AS17" i="1"/>
  <c r="AP17" i="1"/>
  <c r="CB17" i="1"/>
  <c r="AL17" i="1"/>
  <c r="BF17" i="1"/>
  <c r="BK17" i="1"/>
  <c r="AZ17" i="1"/>
  <c r="BX17" i="1"/>
  <c r="AR17" i="1"/>
  <c r="AY17" i="1"/>
  <c r="BI17" i="1"/>
  <c r="BL17" i="1"/>
  <c r="BP17" i="1"/>
  <c r="BA17" i="1"/>
  <c r="BM17" i="1"/>
  <c r="CA17" i="1"/>
  <c r="CF17" i="1"/>
  <c r="AW17" i="1"/>
  <c r="BY17" i="1"/>
  <c r="CE17" i="1"/>
  <c r="AN17" i="1"/>
  <c r="CC17" i="1"/>
  <c r="BQ17" i="1"/>
  <c r="BS17" i="1"/>
  <c r="AM17" i="1"/>
  <c r="AV17" i="1"/>
  <c r="BW17" i="1"/>
  <c r="AQ17" i="1"/>
  <c r="BC17" i="1"/>
  <c r="BE17" i="1"/>
  <c r="BB17" i="1"/>
  <c r="AU17" i="1"/>
  <c r="CG17" i="1"/>
  <c r="BU17" i="1"/>
  <c r="AJ17" i="1"/>
  <c r="AX17" i="1"/>
  <c r="CD17" i="1"/>
  <c r="AO17" i="1"/>
  <c r="BH17" i="1"/>
  <c r="BT17" i="1"/>
  <c r="BD17" i="1"/>
  <c r="AT17" i="1"/>
  <c r="BJ17" i="1"/>
  <c r="AK17" i="1"/>
  <c r="AE57" i="4"/>
  <c r="AA57" i="4"/>
  <c r="J57" i="4"/>
  <c r="Q57" i="4"/>
  <c r="S57" i="4"/>
  <c r="Z57" i="4"/>
  <c r="E57" i="4"/>
  <c r="K57" i="4"/>
  <c r="AD57" i="4"/>
  <c r="T57" i="4"/>
  <c r="G57" i="4"/>
  <c r="F57" i="4"/>
  <c r="X57" i="4"/>
  <c r="I57" i="4"/>
  <c r="V57" i="4"/>
  <c r="O57" i="4"/>
  <c r="R57" i="4"/>
  <c r="H57" i="4"/>
  <c r="W57" i="4"/>
  <c r="U57" i="4"/>
  <c r="AB57" i="4"/>
  <c r="N57" i="4"/>
  <c r="M57" i="4"/>
  <c r="Y57" i="4"/>
  <c r="L57" i="4"/>
  <c r="AC57" i="4"/>
  <c r="P57" i="4"/>
  <c r="D57" i="4"/>
  <c r="BV11" i="1"/>
  <c r="BD11" i="1"/>
  <c r="BR11" i="1"/>
  <c r="BB11" i="1"/>
  <c r="AV11" i="1"/>
  <c r="BK11" i="1"/>
  <c r="BU11" i="1"/>
  <c r="CC11" i="1"/>
  <c r="BI11" i="1"/>
  <c r="AN11" i="1"/>
  <c r="BG13" i="1"/>
  <c r="BO13" i="1"/>
  <c r="BN13" i="1"/>
  <c r="BM13" i="1"/>
  <c r="BR13" i="1"/>
  <c r="BW13" i="1"/>
  <c r="AU13" i="1"/>
  <c r="AN13" i="1"/>
  <c r="BC13" i="1"/>
  <c r="BH13" i="1"/>
  <c r="BS11" i="1"/>
  <c r="AW11" i="1"/>
  <c r="CF11" i="1"/>
  <c r="BW11" i="1"/>
  <c r="BA13" i="1"/>
  <c r="AL13" i="1"/>
  <c r="AV13" i="1"/>
  <c r="AY11" i="1"/>
  <c r="CA11" i="1"/>
  <c r="BH11" i="1"/>
  <c r="AQ11" i="1"/>
  <c r="BF11" i="1"/>
  <c r="BI13" i="1"/>
  <c r="BT13" i="1"/>
  <c r="AW13" i="1"/>
  <c r="BB13" i="1"/>
  <c r="AM13" i="1"/>
  <c r="AO11" i="1"/>
  <c r="BQ11" i="1"/>
  <c r="CG11" i="1"/>
  <c r="AJ11" i="1"/>
  <c r="CD11" i="1"/>
  <c r="AX11" i="1"/>
  <c r="AT13" i="1"/>
  <c r="AR13" i="1"/>
  <c r="CE13" i="1"/>
  <c r="AP13" i="1"/>
  <c r="BU13" i="1"/>
  <c r="BQ13" i="1"/>
  <c r="CF13" i="1"/>
  <c r="BK13" i="1"/>
  <c r="BS13" i="1"/>
  <c r="BZ13" i="1"/>
  <c r="AO13" i="1"/>
  <c r="AK13" i="1"/>
  <c r="CA13" i="1"/>
  <c r="BJ13" i="1"/>
  <c r="BF13" i="1"/>
  <c r="CD13" i="1"/>
  <c r="AJ13" i="1"/>
  <c r="BV13" i="1"/>
  <c r="AQ13" i="1"/>
  <c r="BE11" i="1"/>
  <c r="BC11" i="1"/>
  <c r="AM11" i="1"/>
  <c r="BZ11" i="1"/>
  <c r="AR11" i="1"/>
  <c r="AT11" i="1"/>
  <c r="BN11" i="1"/>
  <c r="BG11" i="1"/>
  <c r="AZ11" i="1"/>
  <c r="AU11" i="1"/>
  <c r="BM11" i="1"/>
  <c r="BJ11" i="1"/>
  <c r="BY11" i="1"/>
  <c r="BX11" i="1"/>
  <c r="BT11" i="1"/>
  <c r="AS11" i="1"/>
  <c r="BP11" i="1"/>
  <c r="BL11" i="1"/>
  <c r="BO11" i="1"/>
  <c r="AK11" i="1"/>
  <c r="CE11" i="1"/>
  <c r="AL11" i="1"/>
  <c r="CB11" i="1"/>
  <c r="AP11" i="1"/>
  <c r="BH15" i="1"/>
  <c r="AQ15" i="1"/>
  <c r="AS15" i="1"/>
  <c r="BM15" i="1"/>
  <c r="BQ15" i="1"/>
  <c r="AY15" i="1"/>
  <c r="BP15" i="1"/>
  <c r="BC15" i="1"/>
  <c r="BE15" i="1"/>
  <c r="BD15" i="1"/>
  <c r="BI15" i="1"/>
  <c r="BV15" i="1"/>
  <c r="CD15" i="1"/>
  <c r="BY15" i="1"/>
  <c r="AR15" i="1"/>
  <c r="AW15" i="1"/>
  <c r="BK15" i="1"/>
  <c r="CB15" i="1"/>
  <c r="AJ15" i="1"/>
  <c r="BX15" i="1"/>
  <c r="BW15" i="1"/>
  <c r="CA15" i="1"/>
  <c r="AN15" i="1"/>
  <c r="AX15" i="1"/>
  <c r="CE15" i="1"/>
  <c r="AL15" i="1"/>
  <c r="CF15" i="1"/>
  <c r="BZ15" i="1"/>
  <c r="AT15" i="1"/>
  <c r="BU15" i="1"/>
  <c r="BG15" i="1"/>
  <c r="AZ15" i="1"/>
  <c r="BJ15" i="1"/>
  <c r="AM15" i="1"/>
  <c r="BS15" i="1"/>
  <c r="BT15" i="1"/>
  <c r="BA15" i="1"/>
  <c r="BB15" i="1"/>
  <c r="AU15" i="1"/>
  <c r="BR15" i="1"/>
  <c r="AK15" i="1"/>
  <c r="AO15" i="1"/>
  <c r="BO15" i="1"/>
  <c r="BF15" i="1"/>
  <c r="AP15" i="1"/>
  <c r="CG15" i="1"/>
  <c r="CC15" i="1"/>
  <c r="BL15" i="1"/>
  <c r="BN15" i="1"/>
  <c r="AV15" i="1"/>
  <c r="CG13" i="1"/>
  <c r="BL13" i="1"/>
  <c r="AY13" i="1"/>
  <c r="BD13" i="1"/>
  <c r="AS13" i="1"/>
  <c r="BY13" i="1"/>
  <c r="BX13" i="1"/>
  <c r="CB13" i="1"/>
  <c r="BE13" i="1"/>
  <c r="CC13" i="1"/>
  <c r="AZ13" i="1"/>
  <c r="AX13" i="1"/>
  <c r="S34" i="4"/>
  <c r="D34" i="4"/>
  <c r="Z34" i="4"/>
  <c r="H34" i="4"/>
  <c r="O34" i="4"/>
  <c r="AD34" i="4"/>
  <c r="V34" i="4"/>
  <c r="E34" i="4"/>
  <c r="U34" i="4"/>
  <c r="M34" i="4"/>
  <c r="P34" i="4"/>
  <c r="AB34" i="4"/>
  <c r="L34" i="4"/>
  <c r="F34" i="4"/>
  <c r="X34" i="4"/>
  <c r="G34" i="4"/>
  <c r="Q34" i="4"/>
  <c r="R34" i="4"/>
  <c r="AE34" i="4"/>
  <c r="AA34" i="4"/>
  <c r="W34" i="4"/>
  <c r="I34" i="4"/>
  <c r="J34" i="4"/>
  <c r="Y34" i="4"/>
  <c r="N34" i="4"/>
  <c r="T34" i="4"/>
  <c r="K34" i="4"/>
  <c r="AC34" i="4"/>
  <c r="AF57" i="4" l="1"/>
  <c r="C56" i="4" s="1"/>
  <c r="AF34" i="4"/>
  <c r="C33" i="4" l="1"/>
  <c r="D39" i="1"/>
  <c r="AF63" i="1" l="1"/>
  <c r="AH62" i="1"/>
  <c r="AH63" i="1"/>
  <c r="AF62" i="1"/>
  <c r="S98" i="1"/>
</calcChain>
</file>

<file path=xl/comments1.xml><?xml version="1.0" encoding="utf-8"?>
<comments xmlns="http://schemas.openxmlformats.org/spreadsheetml/2006/main">
  <authors>
    <author>dimitri.pelletier</author>
  </authors>
  <commentList>
    <comment ref="I29" authorId="0" shapeId="0">
      <text>
        <r>
          <rPr>
            <b/>
            <sz val="9"/>
            <color indexed="81"/>
            <rFont val="Tahoma"/>
            <family val="2"/>
          </rPr>
          <t xml:space="preserve">Renseignez le VOLUME de la zone encombrée à étudier
</t>
        </r>
      </text>
    </comment>
  </commentList>
</comments>
</file>

<file path=xl/comments2.xml><?xml version="1.0" encoding="utf-8"?>
<comments xmlns="http://schemas.openxmlformats.org/spreadsheetml/2006/main">
  <authors>
    <author>dimitri.pelletier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 xml:space="preserve">Valeur par défaut: 1,0151 bar
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Voir onglet "ZONE ENCOMBREE"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Voir onglet "ZONE ENCOMBREE"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 calculer en amont (Ex: Aloha)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 calculer en amont (Ex: Aloha)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Valeur par défaut si non connue: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SELS = distance à la LII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Les valeurs sont arrondies à la dizaine supérieure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SEL = Distance à la LIE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Les valeurs sont arrondies à la dizaine supérieure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SEI = 1,1 x Distance à la LIE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Les valeurs sont arrondies à la dizaine supérieure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Les valeurs sont arrondies à la dizaine supérieure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1" authorId="0" shapeId="0">
      <text>
        <r>
          <rPr>
            <b/>
            <sz val="9"/>
            <color indexed="81"/>
            <rFont val="Tahoma"/>
            <family val="2"/>
          </rPr>
          <t>Groupe de Travail Dépôts Liquides Inflammables (2007)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dimitri.pelletier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 xml:space="preserve">Calcul débit fuite (Casu'Slab)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dimitri.pelletier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Sources: Harris 1983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Données Air Liquide</t>
        </r>
        <r>
          <rPr>
            <sz val="9"/>
            <color indexed="81"/>
            <rFont val="Tahoma"/>
            <family val="2"/>
          </rPr>
          <t xml:space="preserve">
à 15°c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Données TNO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densité x C%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dimitri.pelletier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log P(r') = log P0-(logr'-log0,6)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p(r')=P0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dimitri.pelletier: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dimitri.pelletier: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dimitri.pelletier: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<sst xmlns="http://schemas.openxmlformats.org/spreadsheetml/2006/main" count="421" uniqueCount="261">
  <si>
    <t>Nom du produit</t>
  </si>
  <si>
    <t>Pression ambiante</t>
  </si>
  <si>
    <t>Bar</t>
  </si>
  <si>
    <t>Kg</t>
  </si>
  <si>
    <t>%</t>
  </si>
  <si>
    <t>m</t>
  </si>
  <si>
    <t>mbar</t>
  </si>
  <si>
    <t>Peak overpressure at Xd</t>
  </si>
  <si>
    <t>Peak dynamic pressure at Xd</t>
  </si>
  <si>
    <t>Pressure impulse at Xd</t>
  </si>
  <si>
    <t>Positive phase duration at Xd</t>
  </si>
  <si>
    <t>Blast wave shape at Xd</t>
  </si>
  <si>
    <t>Dommages à la distance Xd</t>
  </si>
  <si>
    <t>MJ</t>
  </si>
  <si>
    <t>Pa*s</t>
  </si>
  <si>
    <t>ms</t>
  </si>
  <si>
    <t>Nom</t>
  </si>
  <si>
    <t>formule</t>
  </si>
  <si>
    <t>LII</t>
  </si>
  <si>
    <t>LSI</t>
  </si>
  <si>
    <t>Concentration stoechiométrique (%)</t>
  </si>
  <si>
    <t>masse volumique (kg/kmol)</t>
  </si>
  <si>
    <t>Vitesse de combustion (m/s)</t>
  </si>
  <si>
    <t>ACETYLENE</t>
  </si>
  <si>
    <t>BUTANE</t>
  </si>
  <si>
    <t>CYCLOHEXANE</t>
  </si>
  <si>
    <t>ETHANE</t>
  </si>
  <si>
    <t>ETHYLENE</t>
  </si>
  <si>
    <t>HEXANE</t>
  </si>
  <si>
    <t>HYDROGENE</t>
  </si>
  <si>
    <t>METHANE</t>
  </si>
  <si>
    <t>PROPANE</t>
  </si>
  <si>
    <t>PROPYLENE</t>
  </si>
  <si>
    <t>r</t>
  </si>
  <si>
    <t>x</t>
  </si>
  <si>
    <t>y</t>
  </si>
  <si>
    <t>1    (très petite déflagration)</t>
  </si>
  <si>
    <t>2    (très petite déflagration)</t>
  </si>
  <si>
    <t>3     (petite déflagration)</t>
  </si>
  <si>
    <t>4     (petite déflagration)</t>
  </si>
  <si>
    <t>5    (moyenne déflagration)</t>
  </si>
  <si>
    <t>6    (forte déflagration)</t>
  </si>
  <si>
    <t>7    (forte déflagration)</t>
  </si>
  <si>
    <t>8    ( très forte déflagration)</t>
  </si>
  <si>
    <t>9    ( très forte déflagration)</t>
  </si>
  <si>
    <t>10  (Détonation)</t>
  </si>
  <si>
    <t>Densité (kg/m3)</t>
  </si>
  <si>
    <t>50 mbar</t>
  </si>
  <si>
    <t>140 mbar</t>
  </si>
  <si>
    <t>200 mbar</t>
  </si>
  <si>
    <t>m3</t>
  </si>
  <si>
    <t>Kg/m3</t>
  </si>
  <si>
    <t>Autre</t>
  </si>
  <si>
    <t>Concentration stoechiométrique</t>
  </si>
  <si>
    <t>Température de combustion (MJ/m3)</t>
  </si>
  <si>
    <t>r0</t>
  </si>
  <si>
    <t>Kpa</t>
  </si>
  <si>
    <t>r'</t>
  </si>
  <si>
    <t>t'p</t>
  </si>
  <si>
    <t>tp</t>
  </si>
  <si>
    <t>is</t>
  </si>
  <si>
    <t>Pa</t>
  </si>
  <si>
    <t>Pa.S</t>
  </si>
  <si>
    <t>P'dyn</t>
  </si>
  <si>
    <t>Pdyn</t>
  </si>
  <si>
    <t>Température ambiante</t>
  </si>
  <si>
    <t>°c</t>
  </si>
  <si>
    <t>C3H8</t>
  </si>
  <si>
    <t>Vc</t>
  </si>
  <si>
    <t>vr</t>
  </si>
  <si>
    <t>ps</t>
  </si>
  <si>
    <t>Indice</t>
  </si>
  <si>
    <t>p's (peak side-on overpressure)</t>
  </si>
  <si>
    <t>C2H2</t>
  </si>
  <si>
    <t>mètres</t>
  </si>
  <si>
    <t>sphère 1</t>
  </si>
  <si>
    <t>sphère 2</t>
  </si>
  <si>
    <t>sphère 3</t>
  </si>
  <si>
    <t>sphère 4</t>
  </si>
  <si>
    <t>sphère 5</t>
  </si>
  <si>
    <t>sphère 6</t>
  </si>
  <si>
    <t>cylindre 1</t>
  </si>
  <si>
    <t>cylindre 2</t>
  </si>
  <si>
    <t>cylindre 3</t>
  </si>
  <si>
    <t>cylindre 4</t>
  </si>
  <si>
    <t>cylindre 5</t>
  </si>
  <si>
    <t>cylindre 6</t>
  </si>
  <si>
    <t>Volume</t>
  </si>
  <si>
    <t>Divers 1</t>
  </si>
  <si>
    <t>Divers 2</t>
  </si>
  <si>
    <t>Divers 3</t>
  </si>
  <si>
    <t>Divers 4</t>
  </si>
  <si>
    <t>Divers 5</t>
  </si>
  <si>
    <t>Divers 6</t>
  </si>
  <si>
    <t>Zone dépourvue d'obstacle</t>
  </si>
  <si>
    <t>Intérieur cuvette</t>
  </si>
  <si>
    <t>Pomperie</t>
  </si>
  <si>
    <t>Poste chargement</t>
  </si>
  <si>
    <t>zone stationnement véhicule</t>
  </si>
  <si>
    <t>Intérieur de bâtiment en structure légère (bardage)</t>
  </si>
  <si>
    <t>Volume inflammable de la zone encombrée</t>
  </si>
  <si>
    <t>Volume inflammable de la zone en champ libre</t>
  </si>
  <si>
    <t>r'=</t>
  </si>
  <si>
    <t>P</t>
  </si>
  <si>
    <t>Po</t>
  </si>
  <si>
    <t>Pour un point situé à :</t>
  </si>
  <si>
    <t xml:space="preserve"> surpression atteinte de</t>
  </si>
  <si>
    <t xml:space="preserve">Surpressions atteintes à (Xm) par rapport au centre de l'explosion: </t>
  </si>
  <si>
    <t xml:space="preserve"> surpression atteinte de:</t>
  </si>
  <si>
    <t>Zone encombrée</t>
  </si>
  <si>
    <t>Champ libre</t>
  </si>
  <si>
    <t>zone libre</t>
  </si>
  <si>
    <t>Pour un point situé à X(m) du centre de l'explosion:</t>
  </si>
  <si>
    <t>Intérieur des cuvettes</t>
  </si>
  <si>
    <t>Poste de chargement / déchargement</t>
  </si>
  <si>
    <t>Zone de stationnement des véhicules</t>
  </si>
  <si>
    <t>Intérieur bâtiment de conception légère (ex : bardage…)</t>
  </si>
  <si>
    <t>Intérieur autre bâtiment</t>
  </si>
  <si>
    <t>Multi énergie non applicable</t>
  </si>
  <si>
    <t>4 à 6 selon l’encombrement des équipements en place (bras, tuyauteries,…) et nombre de citernes (wagons et camions-citernes) pouvant être présents côte à côte</t>
  </si>
  <si>
    <t>4 à 6 selon configuration (supérieur à 5 au-dessous de 5 camions-citernes côte à côte)</t>
  </si>
  <si>
    <t>Jusqu’à 3</t>
  </si>
  <si>
    <t>4 à 5</t>
  </si>
  <si>
    <t>Zone libre avec un nuage homogène</t>
  </si>
  <si>
    <t>concentration stoechiometrique (g/m3)</t>
  </si>
  <si>
    <t>concentration stoechiometrique (kg/m3)</t>
  </si>
  <si>
    <t>Type réservoir</t>
  </si>
  <si>
    <t>300 mbar</t>
  </si>
  <si>
    <t>20 mbar</t>
  </si>
  <si>
    <t>Camion citerne</t>
  </si>
  <si>
    <t>Wagon citerne</t>
  </si>
  <si>
    <t>Capacité</t>
  </si>
  <si>
    <t>Taille de la brèche</t>
  </si>
  <si>
    <t>Produit</t>
  </si>
  <si>
    <t>Zone ecombrée</t>
  </si>
  <si>
    <t>Zone libre</t>
  </si>
  <si>
    <t>20T</t>
  </si>
  <si>
    <t>120m3</t>
  </si>
  <si>
    <t>600m3</t>
  </si>
  <si>
    <t>Réservoir fixe</t>
  </si>
  <si>
    <t>C6H14</t>
  </si>
  <si>
    <t>1 pouce</t>
  </si>
  <si>
    <t>Débit fuite (kg/s)</t>
  </si>
  <si>
    <t>Masse au bout de 60' (kg)</t>
  </si>
  <si>
    <t>Scénario 1</t>
  </si>
  <si>
    <t>Scénario 2</t>
  </si>
  <si>
    <t>Scénario 3</t>
  </si>
  <si>
    <t>Scénario 4</t>
  </si>
  <si>
    <t>Scénario 5</t>
  </si>
  <si>
    <t>Scénario 6</t>
  </si>
  <si>
    <t>Scénario 7</t>
  </si>
  <si>
    <t>Scénario 8</t>
  </si>
  <si>
    <t>Scénario 9</t>
  </si>
  <si>
    <t>Scénario 10</t>
  </si>
  <si>
    <t>Propane</t>
  </si>
  <si>
    <t>2 pouces</t>
  </si>
  <si>
    <t>3 pouces</t>
  </si>
  <si>
    <t>Scénario 11</t>
  </si>
  <si>
    <t>Scénario 12</t>
  </si>
  <si>
    <t>Scénario 13</t>
  </si>
  <si>
    <t>Scénario 14</t>
  </si>
  <si>
    <t>Scénario 15</t>
  </si>
  <si>
    <t>Scénario 16</t>
  </si>
  <si>
    <t>Scénario 17</t>
  </si>
  <si>
    <t>Scénario 18</t>
  </si>
  <si>
    <t>Hydrogene</t>
  </si>
  <si>
    <t>DETERMINATION DES ZONES ENCOMBREES</t>
  </si>
  <si>
    <t>Deux obstacles appartiennent à la même zone si la distance les séparant est inférieure à :</t>
  </si>
  <si>
    <t>10 fois la plus petite dimension si le front de flamme est perpendiculaire</t>
  </si>
  <si>
    <t>1,5 foix la dimension orientée parallèlement à l'obstacle</t>
  </si>
  <si>
    <t>Deux zones sont séparées par plus de 25 m</t>
  </si>
  <si>
    <t>Situation 1:</t>
  </si>
  <si>
    <t>Situation 2:</t>
  </si>
  <si>
    <t>des postes de chargement et déchargement,</t>
  </si>
  <si>
    <t>des zones de stationnement de véhicules.</t>
  </si>
  <si>
    <t>des rétentions de réservoirs et des pomperies si elles sont mitoyennes,</t>
  </si>
  <si>
    <t>des rétentions de réservoirs,</t>
  </si>
  <si>
    <t>des pomperies,</t>
  </si>
  <si>
    <t>Sur un site GPL, il s'agit principalement:</t>
  </si>
  <si>
    <t>ZONE 1</t>
  </si>
  <si>
    <t>ZONE 2</t>
  </si>
  <si>
    <t>&gt; 25M</t>
  </si>
  <si>
    <t>Volume de la zone encombrée (Lxlxh):</t>
  </si>
  <si>
    <t>Rayon</t>
  </si>
  <si>
    <t>Longueur</t>
  </si>
  <si>
    <t>Rayon (m)</t>
  </si>
  <si>
    <t>Volume total des obstacles de la zone encombrée:</t>
  </si>
  <si>
    <t>SPHERES</t>
  </si>
  <si>
    <t>CYLINDRE</t>
  </si>
  <si>
    <t>DIVERS</t>
  </si>
  <si>
    <t>Total:</t>
  </si>
  <si>
    <t>Convertisseur (SPHERE)</t>
  </si>
  <si>
    <t>Volume maximal pouvant être occupé par le nuage:</t>
  </si>
  <si>
    <t>Volume maximal pouvant être occupé par le nuage</t>
  </si>
  <si>
    <t>Volume de la zone encombrée (Vze)  (Lxlxh)</t>
  </si>
  <si>
    <t>Volumes à déduire de Vze (bâtiments, structures…)</t>
  </si>
  <si>
    <t>zone encombrée</t>
  </si>
  <si>
    <t>AIDE AU CALCUL DU VOLUME DE LA ZONE ENCOMBREE</t>
  </si>
  <si>
    <t>CALCUL ENCOMBREMENT DE LA ZONE</t>
  </si>
  <si>
    <t>CONSIGNES : Renseignez les cases bleues</t>
  </si>
  <si>
    <t>EFFETS DE SURPRESSION</t>
  </si>
  <si>
    <t>EFFETS THERMIQUES</t>
  </si>
  <si>
    <t>Distance atteinte par le nuage à la LIE</t>
  </si>
  <si>
    <t>SELS</t>
  </si>
  <si>
    <t>SEL</t>
  </si>
  <si>
    <t>SEI</t>
  </si>
  <si>
    <r>
      <rPr>
        <b/>
        <sz val="22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-</t>
    </r>
    <r>
      <rPr>
        <b/>
        <sz val="14"/>
        <color indexed="8"/>
        <rFont val="Calibri"/>
        <family val="2"/>
      </rPr>
      <t>Détermination du terme SOURCE</t>
    </r>
  </si>
  <si>
    <r>
      <rPr>
        <b/>
        <sz val="22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-</t>
    </r>
    <r>
      <rPr>
        <b/>
        <sz val="14"/>
        <color indexed="8"/>
        <rFont val="Calibri"/>
        <family val="2"/>
      </rPr>
      <t xml:space="preserve"> Détermination du volume inflammable dans la zone encombrée</t>
    </r>
  </si>
  <si>
    <r>
      <rPr>
        <b/>
        <sz val="22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-</t>
    </r>
    <r>
      <rPr>
        <b/>
        <sz val="14"/>
        <color indexed="8"/>
        <rFont val="Calibri"/>
        <family val="2"/>
      </rPr>
      <t xml:space="preserve"> Résultats</t>
    </r>
  </si>
  <si>
    <t>SEL  :   140 mbar</t>
  </si>
  <si>
    <t>SEI  :     50 mbar</t>
  </si>
  <si>
    <t>Par défaut dans ce logiciel (préconisations INERIS)</t>
  </si>
  <si>
    <t>SELS  :   200 mbar</t>
  </si>
  <si>
    <r>
      <t xml:space="preserve">OUTIL DE CALCUL DES EFFETS DE SURPRESSION D'UN UVCE A L'AIDE DE LA METHODE MULTI-ENERGIE (TNO)
 ! ATTENTION !      </t>
    </r>
    <r>
      <rPr>
        <b/>
        <sz val="16"/>
        <color indexed="13"/>
        <rFont val="Calibri"/>
        <family val="2"/>
      </rPr>
      <t>LES VALEURS SONT DONNEES A TITRE INDICATIF</t>
    </r>
  </si>
  <si>
    <t>Préconisations GTDLI
zones dépôts pétroliers</t>
  </si>
  <si>
    <t>4 à 6 pour un bâtiment de conception légère</t>
  </si>
  <si>
    <t>4  à 5 pour une cuvette encombrée</t>
  </si>
  <si>
    <r>
      <t xml:space="preserve">Combustibles à vitesses de combustion équivalentes </t>
    </r>
    <r>
      <rPr>
        <b/>
        <sz val="10"/>
        <color indexed="8"/>
        <rFont val="Calibri"/>
        <family val="2"/>
      </rPr>
      <t>propane</t>
    </r>
  </si>
  <si>
    <t>Combustibles à vitesses de combustion &gt; propane</t>
  </si>
  <si>
    <t>Energie d'explosion</t>
  </si>
  <si>
    <t>Densité</t>
  </si>
  <si>
    <t>Masse inflammable (Minf)</t>
  </si>
  <si>
    <t>Volume inflammable (Vinf)</t>
  </si>
  <si>
    <t>je choisis l'indice</t>
  </si>
  <si>
    <t>Indice de sévérité proposé:</t>
  </si>
  <si>
    <t>&lt; -- ERREUR !</t>
  </si>
  <si>
    <t>Indice de violence</t>
  </si>
  <si>
    <t>Choix de l'INDICE de violence</t>
  </si>
  <si>
    <t>je laisse choisir le logiciel</t>
  </si>
  <si>
    <r>
      <t>(E/Pa)</t>
    </r>
    <r>
      <rPr>
        <vertAlign val="superscript"/>
        <sz val="10"/>
        <color theme="0"/>
        <rFont val="Calibri"/>
        <family val="2"/>
      </rPr>
      <t>1/3</t>
    </r>
  </si>
  <si>
    <t>Fraction du nuage  inflammable recouvrant la zone encombrée</t>
  </si>
  <si>
    <t>,</t>
  </si>
  <si>
    <t>Energie de combustion (j/kg)</t>
  </si>
  <si>
    <t>Autre 1</t>
  </si>
  <si>
    <t>Autre 2</t>
  </si>
  <si>
    <t>Autre 3</t>
  </si>
  <si>
    <t>Autre 4</t>
  </si>
  <si>
    <t>Autre 5</t>
  </si>
  <si>
    <t>Autre 6</t>
  </si>
  <si>
    <t>Autre 7</t>
  </si>
  <si>
    <t>Autre 8</t>
  </si>
  <si>
    <t>Autre 9</t>
  </si>
  <si>
    <t>Autre 10</t>
  </si>
  <si>
    <r>
      <t xml:space="preserve">Zone en </t>
    </r>
    <r>
      <rPr>
        <b/>
        <sz val="10"/>
        <color theme="0" tint="-4.9989318521683403E-2"/>
        <rFont val="Calibri"/>
        <family val="2"/>
      </rPr>
      <t>champ libre</t>
    </r>
  </si>
  <si>
    <r>
      <t xml:space="preserve">Zone </t>
    </r>
    <r>
      <rPr>
        <b/>
        <sz val="10"/>
        <color theme="0" tint="-4.9989318521683403E-2"/>
        <rFont val="Calibri"/>
        <family val="2"/>
      </rPr>
      <t>encombrée</t>
    </r>
  </si>
  <si>
    <t xml:space="preserve">Le nuage </t>
  </si>
  <si>
    <r>
      <t xml:space="preserve">est à </t>
    </r>
    <r>
      <rPr>
        <b/>
        <sz val="11"/>
        <color theme="0"/>
        <rFont val="Calibri"/>
        <family val="2"/>
      </rPr>
      <t>L'INTERIEUR</t>
    </r>
    <r>
      <rPr>
        <sz val="11"/>
        <color theme="0"/>
        <rFont val="Calibri"/>
        <family val="2"/>
        <scheme val="minor"/>
      </rPr>
      <t xml:space="preserve"> de la zone encombrée</t>
    </r>
  </si>
  <si>
    <r>
      <rPr>
        <b/>
        <sz val="11"/>
        <color theme="0"/>
        <rFont val="Calibri"/>
        <family val="2"/>
      </rPr>
      <t>recouvre PARTIELLEMENT</t>
    </r>
    <r>
      <rPr>
        <sz val="11"/>
        <color theme="0"/>
        <rFont val="Calibri"/>
        <family val="2"/>
        <scheme val="minor"/>
      </rPr>
      <t xml:space="preserve"> la zone encombrée</t>
    </r>
  </si>
  <si>
    <r>
      <t>est en</t>
    </r>
    <r>
      <rPr>
        <b/>
        <sz val="11"/>
        <color theme="0"/>
        <rFont val="Calibri"/>
        <family val="2"/>
      </rPr>
      <t xml:space="preserve"> ZONE LIBRE</t>
    </r>
    <r>
      <rPr>
        <sz val="11"/>
        <color theme="0"/>
        <rFont val="Calibri"/>
        <family val="2"/>
        <scheme val="minor"/>
      </rPr>
      <t xml:space="preserve"> d'obstacles</t>
    </r>
  </si>
  <si>
    <r>
      <t xml:space="preserve">recouvre </t>
    </r>
    <r>
      <rPr>
        <b/>
        <sz val="11"/>
        <color theme="0"/>
        <rFont val="Calibri"/>
        <family val="2"/>
      </rPr>
      <t>TOTALEMENT la zone encombrée</t>
    </r>
  </si>
  <si>
    <t>C4H10</t>
  </si>
  <si>
    <t>C6H12</t>
  </si>
  <si>
    <t>CH3CH3</t>
  </si>
  <si>
    <t>C2H4</t>
  </si>
  <si>
    <t>H2</t>
  </si>
  <si>
    <t>CH4</t>
  </si>
  <si>
    <t>C3H6</t>
  </si>
  <si>
    <t>PENTANE</t>
  </si>
  <si>
    <t>C5H12</t>
  </si>
  <si>
    <t>Version 1.1
màj: 31/08/2011</t>
  </si>
  <si>
    <t>est à L'INTERIEUR de la zone encombrée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</si>
</sst>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"/>
    <numFmt numFmtId="165" formatCode="0.0"/>
    <numFmt numFmtId="166" formatCode="0.000E+00"/>
    <numFmt numFmtId="167" formatCode="_-* #,##0\ _€_-;\-* #,##0\ _€_-;_-* &quot;-&quot;??\ _€_-;_-@_-"/>
    <numFmt numFmtId="168" formatCode="0.0000"/>
    <numFmt numFmtId="169" formatCode="0.00000"/>
  </numFmts>
  <fonts count="4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3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4"/>
      <color theme="1"/>
      <name val="Calibri"/>
      <family val="2"/>
      <scheme val="minor"/>
    </font>
    <font>
      <sz val="2"/>
      <color theme="0"/>
      <name val="Calibri"/>
      <family val="2"/>
      <scheme val="minor"/>
    </font>
    <font>
      <sz val="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rgb="FF000000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color theme="0"/>
      <name val="Calibri"/>
      <family val="2"/>
    </font>
    <font>
      <sz val="10"/>
      <color theme="0" tint="-0.34998626667073579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4" tint="0.80001220740379042"/>
        </stop>
        <stop position="0.5">
          <color theme="4" tint="0.40000610370189521"/>
        </stop>
        <stop position="1">
          <color theme="4" tint="0.80001220740379042"/>
        </stop>
      </gradientFill>
    </fill>
    <fill>
      <patternFill patternType="solid">
        <fgColor rgb="FF00206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medium">
        <color indexed="64"/>
      </right>
      <top style="hair">
        <color rgb="FFFF0000"/>
      </top>
      <bottom style="hair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thin">
        <color theme="0"/>
      </bottom>
      <diagonal/>
    </border>
    <border>
      <left style="hair">
        <color indexed="64"/>
      </left>
      <right/>
      <top style="dotted">
        <color rgb="FFFF0000"/>
      </top>
      <bottom style="hair">
        <color indexed="64"/>
      </bottom>
      <diagonal/>
    </border>
    <border>
      <left/>
      <right style="hair">
        <color indexed="64"/>
      </right>
      <top style="dotted">
        <color rgb="FFFF0000"/>
      </top>
      <bottom style="hair">
        <color indexed="64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 style="hair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4">
    <xf numFmtId="0" fontId="0" fillId="0" borderId="0" xfId="0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NumberFormat="1"/>
    <xf numFmtId="0" fontId="0" fillId="2" borderId="0" xfId="0" applyFill="1"/>
    <xf numFmtId="0" fontId="12" fillId="0" borderId="0" xfId="0" applyFont="1" applyBorder="1" applyAlignment="1">
      <alignment horizontal="left" vertical="center"/>
    </xf>
    <xf numFmtId="0" fontId="0" fillId="3" borderId="0" xfId="0" applyFill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0" fillId="3" borderId="3" xfId="0" applyFill="1" applyBorder="1"/>
    <xf numFmtId="0" fontId="1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center"/>
    </xf>
    <xf numFmtId="167" fontId="8" fillId="0" borderId="0" xfId="1" applyNumberFormat="1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2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8" fontId="0" fillId="0" borderId="0" xfId="0" applyNumberFormat="1"/>
    <xf numFmtId="0" fontId="9" fillId="3" borderId="0" xfId="0" applyFont="1" applyFill="1"/>
    <xf numFmtId="0" fontId="11" fillId="3" borderId="0" xfId="0" applyFont="1" applyFill="1" applyAlignment="1">
      <alignment horizontal="center"/>
    </xf>
    <xf numFmtId="168" fontId="0" fillId="4" borderId="0" xfId="0" applyNumberFormat="1" applyFill="1"/>
    <xf numFmtId="168" fontId="0" fillId="5" borderId="0" xfId="0" applyNumberFormat="1" applyFill="1"/>
    <xf numFmtId="168" fontId="0" fillId="6" borderId="0" xfId="0" applyNumberFormat="1" applyFill="1"/>
    <xf numFmtId="0" fontId="0" fillId="6" borderId="0" xfId="0" applyFill="1"/>
    <xf numFmtId="168" fontId="0" fillId="7" borderId="0" xfId="0" applyNumberFormat="1" applyFill="1"/>
    <xf numFmtId="168" fontId="9" fillId="8" borderId="0" xfId="0" applyNumberFormat="1" applyFont="1" applyFill="1"/>
    <xf numFmtId="0" fontId="9" fillId="3" borderId="0" xfId="0" applyFont="1" applyFill="1" applyAlignment="1">
      <alignment horizontal="center" vertical="center"/>
    </xf>
    <xf numFmtId="169" fontId="0" fillId="5" borderId="0" xfId="0" applyNumberFormat="1" applyFill="1"/>
    <xf numFmtId="3" fontId="12" fillId="9" borderId="6" xfId="0" applyNumberFormat="1" applyFont="1" applyFill="1" applyBorder="1" applyAlignment="1">
      <alignment vertical="center"/>
    </xf>
    <xf numFmtId="1" fontId="12" fillId="9" borderId="6" xfId="0" applyNumberFormat="1" applyFont="1" applyFill="1" applyBorder="1" applyAlignment="1">
      <alignment horizontal="right" vertical="center"/>
    </xf>
    <xf numFmtId="0" fontId="12" fillId="9" borderId="6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0" fontId="18" fillId="3" borderId="0" xfId="0" applyFont="1" applyFill="1"/>
    <xf numFmtId="0" fontId="18" fillId="0" borderId="0" xfId="0" applyFont="1"/>
    <xf numFmtId="0" fontId="18" fillId="0" borderId="0" xfId="0" quotePrefix="1" applyFont="1"/>
    <xf numFmtId="168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3" fontId="12" fillId="9" borderId="6" xfId="0" applyNumberFormat="1" applyFont="1" applyFill="1" applyBorder="1" applyAlignment="1">
      <alignment horizontal="right" vertical="center"/>
    </xf>
    <xf numFmtId="0" fontId="12" fillId="10" borderId="0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11" borderId="0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12" borderId="0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0" borderId="0" xfId="0" applyAlignment="1">
      <alignment horizontal="left"/>
    </xf>
    <xf numFmtId="0" fontId="20" fillId="13" borderId="30" xfId="0" applyFont="1" applyFill="1" applyBorder="1" applyAlignment="1">
      <alignment horizontal="center" vertical="center" wrapText="1"/>
    </xf>
    <xf numFmtId="0" fontId="20" fillId="13" borderId="31" xfId="0" applyFont="1" applyFill="1" applyBorder="1" applyAlignment="1">
      <alignment horizontal="center" vertical="center" wrapText="1"/>
    </xf>
    <xf numFmtId="0" fontId="20" fillId="13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center" vertical="center" wrapText="1" readingOrder="1"/>
    </xf>
    <xf numFmtId="0" fontId="21" fillId="0" borderId="51" xfId="0" applyFont="1" applyBorder="1" applyAlignment="1">
      <alignment horizontal="center" vertical="center" wrapText="1" readingOrder="1"/>
    </xf>
    <xf numFmtId="0" fontId="0" fillId="14" borderId="0" xfId="0" applyFill="1"/>
    <xf numFmtId="0" fontId="0" fillId="15" borderId="0" xfId="0" applyFill="1"/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0" fillId="16" borderId="0" xfId="0" applyFill="1"/>
    <xf numFmtId="0" fontId="10" fillId="0" borderId="0" xfId="0" applyFont="1"/>
    <xf numFmtId="0" fontId="10" fillId="0" borderId="0" xfId="0" applyFont="1" applyFill="1"/>
    <xf numFmtId="167" fontId="11" fillId="17" borderId="33" xfId="1" applyNumberFormat="1" applyFont="1" applyFill="1" applyBorder="1" applyAlignment="1">
      <alignment horizontal="left"/>
    </xf>
    <xf numFmtId="0" fontId="11" fillId="17" borderId="34" xfId="0" applyFont="1" applyFill="1" applyBorder="1" applyAlignment="1">
      <alignment horizontal="center"/>
    </xf>
    <xf numFmtId="0" fontId="11" fillId="17" borderId="35" xfId="0" applyFont="1" applyFill="1" applyBorder="1"/>
    <xf numFmtId="0" fontId="0" fillId="14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15" borderId="36" xfId="0" applyFont="1" applyFill="1" applyBorder="1" applyAlignment="1">
      <alignment horizontal="left" vertical="center"/>
    </xf>
    <xf numFmtId="0" fontId="0" fillId="0" borderId="37" xfId="0" applyBorder="1"/>
    <xf numFmtId="167" fontId="8" fillId="14" borderId="0" xfId="1" applyNumberFormat="1" applyFont="1" applyFill="1" applyAlignment="1">
      <alignment horizontal="center"/>
    </xf>
    <xf numFmtId="0" fontId="0" fillId="14" borderId="37" xfId="0" applyFill="1" applyBorder="1"/>
    <xf numFmtId="0" fontId="0" fillId="14" borderId="37" xfId="0" applyFill="1" applyBorder="1" applyAlignment="1">
      <alignment horizontal="center"/>
    </xf>
    <xf numFmtId="0" fontId="0" fillId="14" borderId="37" xfId="0" applyFill="1" applyBorder="1" applyAlignment="1">
      <alignment horizontal="left" vertical="center"/>
    </xf>
    <xf numFmtId="0" fontId="0" fillId="14" borderId="37" xfId="0" applyFill="1" applyBorder="1" applyAlignment="1">
      <alignment horizontal="left" vertical="center" wrapText="1"/>
    </xf>
    <xf numFmtId="0" fontId="24" fillId="14" borderId="0" xfId="0" applyFont="1" applyFill="1" applyAlignment="1">
      <alignment horizontal="right"/>
    </xf>
    <xf numFmtId="0" fontId="0" fillId="14" borderId="0" xfId="0" applyFill="1" applyAlignment="1"/>
    <xf numFmtId="0" fontId="24" fillId="14" borderId="0" xfId="0" applyFont="1" applyFill="1"/>
    <xf numFmtId="0" fontId="10" fillId="14" borderId="0" xfId="0" applyFont="1" applyFill="1"/>
    <xf numFmtId="0" fontId="0" fillId="18" borderId="0" xfId="0" applyFill="1" applyBorder="1" applyAlignment="1" applyProtection="1">
      <alignment horizontal="center"/>
      <protection locked="0"/>
    </xf>
    <xf numFmtId="167" fontId="8" fillId="0" borderId="2" xfId="1" applyNumberFormat="1" applyFont="1" applyBorder="1" applyAlignment="1">
      <alignment horizontal="center"/>
    </xf>
    <xf numFmtId="0" fontId="0" fillId="0" borderId="36" xfId="0" applyBorder="1"/>
    <xf numFmtId="0" fontId="0" fillId="19" borderId="2" xfId="0" applyFill="1" applyBorder="1" applyAlignment="1">
      <alignment horizontal="right"/>
    </xf>
    <xf numFmtId="1" fontId="0" fillId="19" borderId="2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1" fontId="0" fillId="0" borderId="3" xfId="0" applyNumberFormat="1" applyFill="1" applyBorder="1" applyAlignment="1">
      <alignment horizontal="left"/>
    </xf>
    <xf numFmtId="1" fontId="0" fillId="19" borderId="2" xfId="0" applyNumberFormat="1" applyFill="1" applyBorder="1" applyAlignment="1">
      <alignment horizontal="center" vertical="center"/>
    </xf>
    <xf numFmtId="3" fontId="0" fillId="18" borderId="0" xfId="0" applyNumberFormat="1" applyFill="1" applyBorder="1" applyAlignment="1" applyProtection="1">
      <alignment horizontal="center"/>
      <protection locked="0"/>
    </xf>
    <xf numFmtId="3" fontId="0" fillId="10" borderId="0" xfId="0" applyNumberFormat="1" applyFill="1" applyBorder="1" applyAlignment="1">
      <alignment horizontal="center"/>
    </xf>
    <xf numFmtId="3" fontId="8" fillId="10" borderId="0" xfId="1" applyNumberFormat="1" applyFont="1" applyFill="1" applyBorder="1" applyAlignment="1">
      <alignment horizontal="center" vertical="center"/>
    </xf>
    <xf numFmtId="1" fontId="0" fillId="10" borderId="16" xfId="0" applyNumberFormat="1" applyFill="1" applyBorder="1" applyAlignment="1">
      <alignment horizontal="center"/>
    </xf>
    <xf numFmtId="0" fontId="9" fillId="20" borderId="38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0" fontId="0" fillId="18" borderId="39" xfId="0" applyFill="1" applyBorder="1" applyAlignment="1" applyProtection="1">
      <alignment horizontal="center"/>
      <protection locked="0"/>
    </xf>
    <xf numFmtId="3" fontId="12" fillId="9" borderId="6" xfId="0" applyNumberFormat="1" applyFont="1" applyFill="1" applyBorder="1" applyAlignment="1" applyProtection="1">
      <alignment horizontal="right" vertical="center"/>
    </xf>
    <xf numFmtId="0" fontId="12" fillId="21" borderId="6" xfId="0" applyFont="1" applyFill="1" applyBorder="1" applyAlignment="1" applyProtection="1">
      <alignment horizontal="right" vertical="center"/>
    </xf>
    <xf numFmtId="165" fontId="12" fillId="10" borderId="6" xfId="0" applyNumberFormat="1" applyFont="1" applyFill="1" applyBorder="1" applyAlignment="1" applyProtection="1">
      <alignment horizontal="right" vertical="center"/>
      <protection locked="0"/>
    </xf>
    <xf numFmtId="0" fontId="12" fillId="10" borderId="6" xfId="0" applyFont="1" applyFill="1" applyBorder="1" applyAlignment="1" applyProtection="1">
      <alignment horizontal="right" vertical="center"/>
      <protection locked="0"/>
    </xf>
    <xf numFmtId="3" fontId="12" fillId="1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left" vertical="center"/>
    </xf>
    <xf numFmtId="168" fontId="9" fillId="0" borderId="0" xfId="0" applyNumberFormat="1" applyFont="1" applyFill="1" applyBorder="1"/>
    <xf numFmtId="165" fontId="0" fillId="0" borderId="0" xfId="0" applyNumberFormat="1"/>
    <xf numFmtId="2" fontId="0" fillId="0" borderId="0" xfId="0" applyNumberFormat="1"/>
    <xf numFmtId="0" fontId="14" fillId="0" borderId="0" xfId="0" applyFont="1" applyFill="1" applyBorder="1" applyAlignment="1">
      <alignment vertical="center" wrapText="1"/>
    </xf>
    <xf numFmtId="0" fontId="9" fillId="0" borderId="0" xfId="0" applyFont="1" applyBorder="1" applyAlignment="1"/>
    <xf numFmtId="3" fontId="14" fillId="0" borderId="0" xfId="0" applyNumberFormat="1" applyFont="1" applyBorder="1" applyAlignment="1">
      <alignment horizontal="right" vertical="center"/>
    </xf>
    <xf numFmtId="0" fontId="12" fillId="21" borderId="52" xfId="0" applyFont="1" applyFill="1" applyBorder="1" applyAlignment="1" applyProtection="1">
      <alignment horizontal="right" vertical="center"/>
      <protection locked="0"/>
    </xf>
    <xf numFmtId="3" fontId="12" fillId="21" borderId="52" xfId="0" applyNumberFormat="1" applyFont="1" applyFill="1" applyBorder="1" applyAlignment="1" applyProtection="1">
      <alignment horizontal="right" vertical="center"/>
      <protection locked="0"/>
    </xf>
    <xf numFmtId="0" fontId="12" fillId="11" borderId="4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40" xfId="0" applyFont="1" applyBorder="1" applyAlignment="1">
      <alignment horizontal="left" vertical="center"/>
    </xf>
    <xf numFmtId="3" fontId="13" fillId="9" borderId="6" xfId="0" applyNumberFormat="1" applyFont="1" applyFill="1" applyBorder="1" applyAlignment="1">
      <alignment horizontal="center" vertical="center"/>
    </xf>
    <xf numFmtId="1" fontId="13" fillId="9" borderId="6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9" borderId="5" xfId="0" applyFont="1" applyFill="1" applyBorder="1" applyAlignment="1">
      <alignment horizontal="right" vertical="center"/>
    </xf>
    <xf numFmtId="0" fontId="13" fillId="0" borderId="5" xfId="0" applyFont="1" applyBorder="1" applyAlignment="1">
      <alignment horizontal="right" vertical="center" wrapText="1"/>
    </xf>
    <xf numFmtId="0" fontId="13" fillId="21" borderId="53" xfId="0" applyFont="1" applyFill="1" applyBorder="1" applyAlignment="1" applyProtection="1">
      <alignment horizontal="right" vertical="center"/>
      <protection locked="0"/>
    </xf>
    <xf numFmtId="0" fontId="25" fillId="11" borderId="54" xfId="0" applyFont="1" applyFill="1" applyBorder="1" applyAlignment="1">
      <alignment vertical="center" wrapText="1"/>
    </xf>
    <xf numFmtId="0" fontId="12" fillId="11" borderId="54" xfId="0" applyFont="1" applyFill="1" applyBorder="1" applyAlignment="1">
      <alignment horizontal="left" vertical="center" wrapText="1"/>
    </xf>
    <xf numFmtId="0" fontId="12" fillId="11" borderId="54" xfId="0" applyFont="1" applyFill="1" applyBorder="1" applyAlignment="1">
      <alignment vertical="center"/>
    </xf>
    <xf numFmtId="0" fontId="12" fillId="11" borderId="54" xfId="0" applyFont="1" applyFill="1" applyBorder="1" applyAlignment="1">
      <alignment horizontal="left" vertical="center"/>
    </xf>
    <xf numFmtId="0" fontId="12" fillId="11" borderId="55" xfId="0" applyFont="1" applyFill="1" applyBorder="1" applyAlignment="1">
      <alignment horizontal="left" vertical="center" wrapText="1"/>
    </xf>
    <xf numFmtId="0" fontId="14" fillId="22" borderId="10" xfId="0" applyFont="1" applyFill="1" applyBorder="1" applyAlignment="1">
      <alignment horizontal="left" vertical="center"/>
    </xf>
    <xf numFmtId="0" fontId="12" fillId="22" borderId="7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horizontal="left" vertical="center"/>
    </xf>
    <xf numFmtId="0" fontId="12" fillId="22" borderId="4" xfId="0" applyFont="1" applyFill="1" applyBorder="1" applyAlignment="1">
      <alignment horizontal="left" vertical="center"/>
    </xf>
    <xf numFmtId="0" fontId="26" fillId="3" borderId="56" xfId="0" applyFont="1" applyFill="1" applyBorder="1" applyAlignment="1">
      <alignment vertical="center" wrapText="1" shrinkToFit="1"/>
    </xf>
    <xf numFmtId="0" fontId="23" fillId="0" borderId="0" xfId="0" applyFont="1"/>
    <xf numFmtId="0" fontId="23" fillId="23" borderId="0" xfId="0" applyFont="1" applyFill="1"/>
    <xf numFmtId="0" fontId="15" fillId="23" borderId="0" xfId="0" applyFont="1" applyFill="1"/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2" fontId="27" fillId="9" borderId="6" xfId="0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wrapText="1"/>
    </xf>
    <xf numFmtId="0" fontId="10" fillId="11" borderId="0" xfId="0" applyFont="1" applyFill="1" applyBorder="1" applyAlignment="1">
      <alignment horizontal="left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12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3" fontId="40" fillId="9" borderId="6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0" fillId="2" borderId="27" xfId="0" applyFont="1" applyFill="1" applyBorder="1" applyAlignment="1">
      <alignment horizontal="center"/>
    </xf>
    <xf numFmtId="0" fontId="0" fillId="14" borderId="88" xfId="0" applyFill="1" applyBorder="1" applyAlignment="1" applyProtection="1">
      <alignment horizontal="left"/>
      <protection locked="0"/>
    </xf>
    <xf numFmtId="0" fontId="0" fillId="14" borderId="89" xfId="0" applyFill="1" applyBorder="1" applyAlignment="1" applyProtection="1">
      <alignment horizontal="center"/>
      <protection locked="0"/>
    </xf>
    <xf numFmtId="0" fontId="0" fillId="14" borderId="90" xfId="0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3" fontId="42" fillId="12" borderId="22" xfId="0" applyNumberFormat="1" applyFont="1" applyFill="1" applyBorder="1" applyAlignment="1">
      <alignment horizontal="center" vertical="center"/>
    </xf>
    <xf numFmtId="3" fontId="42" fillId="12" borderId="24" xfId="0" applyNumberFormat="1" applyFont="1" applyFill="1" applyBorder="1" applyAlignment="1">
      <alignment vertical="center"/>
    </xf>
    <xf numFmtId="3" fontId="42" fillId="12" borderId="25" xfId="0" applyNumberFormat="1" applyFont="1" applyFill="1" applyBorder="1" applyAlignment="1">
      <alignment vertical="center"/>
    </xf>
    <xf numFmtId="0" fontId="42" fillId="12" borderId="26" xfId="0" applyFont="1" applyFill="1" applyBorder="1" applyAlignment="1">
      <alignment horizontal="left" vertical="center"/>
    </xf>
    <xf numFmtId="3" fontId="42" fillId="12" borderId="6" xfId="0" applyNumberFormat="1" applyFont="1" applyFill="1" applyBorder="1" applyAlignment="1">
      <alignment horizontal="center" vertical="center"/>
    </xf>
    <xf numFmtId="3" fontId="42" fillId="12" borderId="18" xfId="0" applyNumberFormat="1" applyFont="1" applyFill="1" applyBorder="1" applyAlignment="1">
      <alignment vertical="center"/>
    </xf>
    <xf numFmtId="3" fontId="42" fillId="12" borderId="17" xfId="0" applyNumberFormat="1" applyFont="1" applyFill="1" applyBorder="1" applyAlignment="1">
      <alignment vertical="center"/>
    </xf>
    <xf numFmtId="0" fontId="42" fillId="12" borderId="23" xfId="0" applyFont="1" applyFill="1" applyBorder="1" applyAlignment="1">
      <alignment horizontal="left" vertical="center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30" borderId="14" xfId="0" applyFont="1" applyFill="1" applyBorder="1" applyAlignment="1">
      <alignment horizontal="center" vertical="center"/>
    </xf>
    <xf numFmtId="0" fontId="16" fillId="30" borderId="0" xfId="0" applyFont="1" applyFill="1" applyBorder="1" applyAlignment="1">
      <alignment horizontal="center" vertical="center"/>
    </xf>
    <xf numFmtId="0" fontId="12" fillId="30" borderId="11" xfId="0" applyFont="1" applyFill="1" applyBorder="1" applyAlignment="1">
      <alignment horizontal="left" vertical="center"/>
    </xf>
    <xf numFmtId="0" fontId="0" fillId="30" borderId="29" xfId="0" applyFill="1" applyBorder="1" applyAlignment="1">
      <alignment horizontal="left"/>
    </xf>
    <xf numFmtId="0" fontId="0" fillId="30" borderId="27" xfId="0" applyFill="1" applyBorder="1" applyAlignment="1">
      <alignment horizontal="center"/>
    </xf>
    <xf numFmtId="0" fontId="0" fillId="30" borderId="28" xfId="0" applyFill="1" applyBorder="1" applyAlignment="1">
      <alignment horizontal="center"/>
    </xf>
    <xf numFmtId="0" fontId="0" fillId="30" borderId="0" xfId="0" applyFill="1"/>
    <xf numFmtId="0" fontId="9" fillId="30" borderId="0" xfId="0" applyFont="1" applyFill="1"/>
    <xf numFmtId="49" fontId="9" fillId="30" borderId="0" xfId="0" applyNumberFormat="1" applyFont="1" applyFill="1"/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40" xfId="0" applyFont="1" applyFill="1" applyBorder="1" applyAlignment="1">
      <alignment horizontal="center" vertical="center" textRotation="90" wrapText="1"/>
    </xf>
    <xf numFmtId="0" fontId="0" fillId="24" borderId="1" xfId="0" applyFill="1" applyBorder="1" applyAlignment="1">
      <alignment horizontal="left" wrapText="1"/>
    </xf>
    <xf numFmtId="0" fontId="0" fillId="24" borderId="12" xfId="0" applyFill="1" applyBorder="1" applyAlignment="1">
      <alignment horizontal="left" vertical="center" wrapText="1"/>
    </xf>
    <xf numFmtId="0" fontId="0" fillId="24" borderId="38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0" fontId="0" fillId="24" borderId="15" xfId="0" applyFill="1" applyBorder="1" applyAlignment="1">
      <alignment horizontal="left" vertical="center" wrapText="1"/>
    </xf>
    <xf numFmtId="0" fontId="0" fillId="24" borderId="39" xfId="0" applyFill="1" applyBorder="1" applyAlignment="1">
      <alignment horizontal="left" vertical="center" wrapText="1"/>
    </xf>
    <xf numFmtId="0" fontId="0" fillId="24" borderId="16" xfId="0" applyFill="1" applyBorder="1" applyAlignment="1">
      <alignment horizontal="left" vertical="center" wrapText="1"/>
    </xf>
    <xf numFmtId="0" fontId="0" fillId="24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right" vertical="center" wrapText="1"/>
    </xf>
    <xf numFmtId="0" fontId="12" fillId="0" borderId="43" xfId="0" applyFont="1" applyBorder="1" applyAlignment="1">
      <alignment horizontal="right" vertical="center" wrapText="1"/>
    </xf>
    <xf numFmtId="0" fontId="12" fillId="0" borderId="44" xfId="0" applyFont="1" applyBorder="1" applyAlignment="1">
      <alignment horizontal="right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167" fontId="8" fillId="10" borderId="45" xfId="1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3" fontId="0" fillId="25" borderId="0" xfId="0" applyNumberForma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9" fillId="10" borderId="57" xfId="0" applyFont="1" applyFill="1" applyBorder="1" applyAlignment="1">
      <alignment horizontal="center" vertical="center" wrapText="1"/>
    </xf>
    <xf numFmtId="0" fontId="29" fillId="10" borderId="58" xfId="0" applyFont="1" applyFill="1" applyBorder="1" applyAlignment="1">
      <alignment horizontal="center" vertical="center" wrapText="1"/>
    </xf>
    <xf numFmtId="0" fontId="29" fillId="10" borderId="61" xfId="0" applyFont="1" applyFill="1" applyBorder="1" applyAlignment="1">
      <alignment horizontal="center" vertical="center" wrapText="1"/>
    </xf>
    <xf numFmtId="0" fontId="29" fillId="10" borderId="59" xfId="0" applyFont="1" applyFill="1" applyBorder="1" applyAlignment="1">
      <alignment horizontal="center" vertical="center" wrapText="1"/>
    </xf>
    <xf numFmtId="0" fontId="29" fillId="10" borderId="60" xfId="0" applyFont="1" applyFill="1" applyBorder="1" applyAlignment="1">
      <alignment horizontal="center" vertical="center" wrapText="1"/>
    </xf>
    <xf numFmtId="0" fontId="23" fillId="10" borderId="58" xfId="0" applyFont="1" applyFill="1" applyBorder="1" applyAlignment="1">
      <alignment horizontal="center" vertical="center" wrapText="1"/>
    </xf>
    <xf numFmtId="0" fontId="23" fillId="10" borderId="61" xfId="0" applyFont="1" applyFill="1" applyBorder="1" applyAlignment="1">
      <alignment horizontal="center" vertical="center" wrapText="1"/>
    </xf>
    <xf numFmtId="0" fontId="23" fillId="10" borderId="60" xfId="0" applyFont="1" applyFill="1" applyBorder="1" applyAlignment="1">
      <alignment horizontal="center" vertical="center" wrapText="1"/>
    </xf>
    <xf numFmtId="0" fontId="23" fillId="10" borderId="6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10" borderId="79" xfId="0" applyFont="1" applyFill="1" applyBorder="1" applyAlignment="1">
      <alignment horizontal="center" vertical="center" wrapText="1"/>
    </xf>
    <xf numFmtId="0" fontId="12" fillId="10" borderId="58" xfId="0" applyFont="1" applyFill="1" applyBorder="1" applyAlignment="1">
      <alignment horizontal="center" vertical="center" wrapText="1"/>
    </xf>
    <xf numFmtId="0" fontId="34" fillId="10" borderId="8" xfId="0" applyFont="1" applyFill="1" applyBorder="1" applyAlignment="1">
      <alignment horizontal="left" vertical="top" wrapText="1"/>
    </xf>
    <xf numFmtId="0" fontId="34" fillId="10" borderId="10" xfId="0" applyFont="1" applyFill="1" applyBorder="1" applyAlignment="1">
      <alignment horizontal="left" vertical="top"/>
    </xf>
    <xf numFmtId="0" fontId="34" fillId="10" borderId="7" xfId="0" applyFont="1" applyFill="1" applyBorder="1" applyAlignment="1">
      <alignment horizontal="left" vertical="top"/>
    </xf>
    <xf numFmtId="0" fontId="34" fillId="10" borderId="66" xfId="0" applyFont="1" applyFill="1" applyBorder="1" applyAlignment="1">
      <alignment horizontal="left" vertical="top"/>
    </xf>
    <xf numFmtId="0" fontId="34" fillId="10" borderId="67" xfId="0" applyFont="1" applyFill="1" applyBorder="1" applyAlignment="1">
      <alignment horizontal="left" vertical="top"/>
    </xf>
    <xf numFmtId="0" fontId="34" fillId="10" borderId="68" xfId="0" applyFont="1" applyFill="1" applyBorder="1" applyAlignment="1">
      <alignment horizontal="left" vertical="top"/>
    </xf>
    <xf numFmtId="0" fontId="35" fillId="24" borderId="0" xfId="0" applyFont="1" applyFill="1" applyBorder="1" applyAlignment="1">
      <alignment horizontal="center" vertical="center"/>
    </xf>
    <xf numFmtId="0" fontId="35" fillId="24" borderId="4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0" fillId="10" borderId="61" xfId="0" applyFont="1" applyFill="1" applyBorder="1" applyAlignment="1">
      <alignment horizontal="center" vertical="center"/>
    </xf>
    <xf numFmtId="0" fontId="30" fillId="10" borderId="60" xfId="0" applyFont="1" applyFill="1" applyBorder="1" applyAlignment="1">
      <alignment horizontal="center" vertical="center"/>
    </xf>
    <xf numFmtId="0" fontId="30" fillId="10" borderId="62" xfId="0" applyFont="1" applyFill="1" applyBorder="1" applyAlignment="1">
      <alignment horizontal="center" vertical="center"/>
    </xf>
    <xf numFmtId="0" fontId="12" fillId="10" borderId="57" xfId="0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horizontal="center" vertical="center" wrapText="1"/>
    </xf>
    <xf numFmtId="0" fontId="12" fillId="10" borderId="6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7" fillId="30" borderId="48" xfId="0" applyFont="1" applyFill="1" applyBorder="1" applyAlignment="1">
      <alignment horizontal="center" vertical="top"/>
    </xf>
    <xf numFmtId="0" fontId="17" fillId="30" borderId="49" xfId="0" applyFont="1" applyFill="1" applyBorder="1" applyAlignment="1">
      <alignment horizontal="center" vertical="top"/>
    </xf>
    <xf numFmtId="0" fontId="12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33" fillId="3" borderId="73" xfId="0" applyFont="1" applyFill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 wrapText="1"/>
    </xf>
    <xf numFmtId="0" fontId="29" fillId="10" borderId="75" xfId="0" applyFont="1" applyFill="1" applyBorder="1" applyAlignment="1">
      <alignment horizontal="center" vertical="center" wrapText="1"/>
    </xf>
    <xf numFmtId="0" fontId="29" fillId="10" borderId="76" xfId="0" applyFont="1" applyFill="1" applyBorder="1" applyAlignment="1">
      <alignment horizontal="center" vertical="center" wrapText="1"/>
    </xf>
    <xf numFmtId="0" fontId="23" fillId="10" borderId="76" xfId="0" applyFont="1" applyFill="1" applyBorder="1" applyAlignment="1">
      <alignment horizontal="center" vertical="center" wrapText="1"/>
    </xf>
    <xf numFmtId="0" fontId="23" fillId="10" borderId="77" xfId="0" applyFont="1" applyFill="1" applyBorder="1" applyAlignment="1">
      <alignment horizontal="center" vertical="center" wrapText="1"/>
    </xf>
    <xf numFmtId="0" fontId="12" fillId="10" borderId="82" xfId="0" applyFont="1" applyFill="1" applyBorder="1" applyAlignment="1">
      <alignment horizontal="center" vertical="center" wrapText="1"/>
    </xf>
    <xf numFmtId="0" fontId="12" fillId="10" borderId="61" xfId="0" applyFont="1" applyFill="1" applyBorder="1" applyAlignment="1">
      <alignment horizontal="center" vertical="center" wrapText="1"/>
    </xf>
    <xf numFmtId="0" fontId="12" fillId="21" borderId="85" xfId="0" applyFont="1" applyFill="1" applyBorder="1" applyAlignment="1" applyProtection="1">
      <alignment horizontal="left" vertical="center" wrapText="1"/>
      <protection locked="0"/>
    </xf>
    <xf numFmtId="0" fontId="12" fillId="21" borderId="86" xfId="0" applyFont="1" applyFill="1" applyBorder="1" applyAlignment="1" applyProtection="1">
      <alignment horizontal="left" vertical="center" wrapText="1"/>
      <protection locked="0"/>
    </xf>
    <xf numFmtId="0" fontId="38" fillId="29" borderId="83" xfId="0" applyFont="1" applyFill="1" applyBorder="1" applyAlignment="1" applyProtection="1">
      <alignment horizontal="left" vertical="center"/>
    </xf>
    <xf numFmtId="0" fontId="38" fillId="29" borderId="84" xfId="0" applyFont="1" applyFill="1" applyBorder="1" applyAlignment="1" applyProtection="1">
      <alignment horizontal="left" vertical="center"/>
    </xf>
    <xf numFmtId="0" fontId="11" fillId="28" borderId="0" xfId="0" applyFont="1" applyFill="1" applyBorder="1" applyAlignment="1" applyProtection="1">
      <alignment horizontal="left" vertical="center"/>
      <protection locked="0"/>
    </xf>
    <xf numFmtId="0" fontId="31" fillId="13" borderId="63" xfId="0" applyFont="1" applyFill="1" applyBorder="1" applyAlignment="1">
      <alignment horizontal="center" vertical="center" wrapText="1"/>
    </xf>
    <xf numFmtId="0" fontId="31" fillId="13" borderId="64" xfId="0" applyFont="1" applyFill="1" applyBorder="1" applyAlignment="1">
      <alignment horizontal="center" vertical="center" wrapText="1"/>
    </xf>
    <xf numFmtId="0" fontId="31" fillId="13" borderId="65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horizontal="center" vertical="center" wrapText="1"/>
    </xf>
    <xf numFmtId="0" fontId="31" fillId="13" borderId="4" xfId="0" applyFont="1" applyFill="1" applyBorder="1" applyAlignment="1">
      <alignment horizontal="center" vertical="center" wrapText="1"/>
    </xf>
    <xf numFmtId="0" fontId="31" fillId="13" borderId="66" xfId="0" applyFont="1" applyFill="1" applyBorder="1" applyAlignment="1">
      <alignment horizontal="center" vertical="center" wrapText="1"/>
    </xf>
    <xf numFmtId="0" fontId="31" fillId="13" borderId="67" xfId="0" applyFont="1" applyFill="1" applyBorder="1" applyAlignment="1">
      <alignment horizontal="center" vertical="center" wrapText="1"/>
    </xf>
    <xf numFmtId="0" fontId="31" fillId="13" borderId="68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left" wrapText="1"/>
    </xf>
    <xf numFmtId="0" fontId="10" fillId="11" borderId="0" xfId="0" applyFont="1" applyFill="1" applyBorder="1" applyAlignment="1">
      <alignment horizontal="left" wrapText="1"/>
    </xf>
    <xf numFmtId="0" fontId="10" fillId="11" borderId="4" xfId="0" applyFont="1" applyFill="1" applyBorder="1" applyAlignment="1">
      <alignment horizontal="left" wrapText="1"/>
    </xf>
    <xf numFmtId="0" fontId="12" fillId="26" borderId="69" xfId="0" applyFont="1" applyFill="1" applyBorder="1" applyAlignment="1" applyProtection="1">
      <alignment horizontal="left" vertical="center"/>
      <protection locked="0"/>
    </xf>
    <xf numFmtId="0" fontId="12" fillId="26" borderId="70" xfId="0" applyFont="1" applyFill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2" fillId="26" borderId="69" xfId="0" applyFont="1" applyFill="1" applyBorder="1" applyAlignment="1" applyProtection="1">
      <alignment horizontal="left" vertical="center" wrapText="1"/>
      <protection locked="0"/>
    </xf>
    <xf numFmtId="0" fontId="12" fillId="26" borderId="71" xfId="0" applyFont="1" applyFill="1" applyBorder="1" applyAlignment="1" applyProtection="1">
      <alignment horizontal="left" vertical="center" wrapText="1"/>
      <protection locked="0"/>
    </xf>
    <xf numFmtId="0" fontId="12" fillId="26" borderId="72" xfId="0" applyFont="1" applyFill="1" applyBorder="1" applyAlignment="1" applyProtection="1">
      <alignment horizontal="left" vertical="center" wrapText="1"/>
      <protection locked="0"/>
    </xf>
    <xf numFmtId="0" fontId="25" fillId="27" borderId="66" xfId="0" applyFont="1" applyFill="1" applyBorder="1" applyAlignment="1">
      <alignment horizontal="center" vertical="center" wrapText="1"/>
    </xf>
    <xf numFmtId="0" fontId="25" fillId="27" borderId="67" xfId="0" applyFont="1" applyFill="1" applyBorder="1" applyAlignment="1">
      <alignment horizontal="center" vertical="center" wrapText="1"/>
    </xf>
    <xf numFmtId="0" fontId="34" fillId="10" borderId="78" xfId="0" applyFont="1" applyFill="1" applyBorder="1" applyAlignment="1">
      <alignment horizontal="left" vertical="top" wrapText="1"/>
    </xf>
    <xf numFmtId="0" fontId="34" fillId="10" borderId="79" xfId="0" applyFont="1" applyFill="1" applyBorder="1" applyAlignment="1">
      <alignment horizontal="left" vertical="top" wrapText="1"/>
    </xf>
    <xf numFmtId="0" fontId="34" fillId="10" borderId="57" xfId="0" applyFont="1" applyFill="1" applyBorder="1" applyAlignment="1">
      <alignment horizontal="left" vertical="top" wrapText="1"/>
    </xf>
    <xf numFmtId="0" fontId="34" fillId="10" borderId="58" xfId="0" applyFont="1" applyFill="1" applyBorder="1" applyAlignment="1">
      <alignment horizontal="left" vertical="top" wrapText="1"/>
    </xf>
    <xf numFmtId="0" fontId="36" fillId="2" borderId="80" xfId="0" applyFont="1" applyFill="1" applyBorder="1" applyAlignment="1">
      <alignment horizontal="left" vertical="center" wrapText="1"/>
    </xf>
    <xf numFmtId="0" fontId="36" fillId="2" borderId="81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33" fillId="22" borderId="8" xfId="0" applyFont="1" applyFill="1" applyBorder="1" applyAlignment="1">
      <alignment horizontal="left" vertical="top"/>
    </xf>
    <xf numFmtId="0" fontId="33" fillId="22" borderId="10" xfId="0" applyFont="1" applyFill="1" applyBorder="1" applyAlignment="1">
      <alignment horizontal="left" vertical="top"/>
    </xf>
    <xf numFmtId="0" fontId="33" fillId="22" borderId="5" xfId="0" applyFont="1" applyFill="1" applyBorder="1" applyAlignment="1">
      <alignment horizontal="left" vertical="top"/>
    </xf>
    <xf numFmtId="0" fontId="33" fillId="22" borderId="0" xfId="0" applyFont="1" applyFill="1" applyBorder="1" applyAlignment="1">
      <alignment horizontal="left" vertical="top"/>
    </xf>
    <xf numFmtId="0" fontId="42" fillId="12" borderId="5" xfId="0" applyFont="1" applyFill="1" applyBorder="1" applyAlignment="1">
      <alignment horizontal="center" vertical="center" wrapText="1"/>
    </xf>
    <xf numFmtId="0" fontId="42" fillId="12" borderId="46" xfId="0" applyFont="1" applyFill="1" applyBorder="1" applyAlignment="1">
      <alignment horizontal="center" vertical="center" wrapText="1"/>
    </xf>
    <xf numFmtId="0" fontId="42" fillId="12" borderId="9" xfId="0" applyFont="1" applyFill="1" applyBorder="1" applyAlignment="1">
      <alignment horizontal="center" vertical="center" wrapText="1"/>
    </xf>
    <xf numFmtId="0" fontId="42" fillId="12" borderId="47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34">
    <dxf>
      <font>
        <color theme="0"/>
      </font>
      <fill>
        <patternFill>
          <bgColor theme="0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theme="0" tint="-4.9989318521683403E-2"/>
      </font>
    </dxf>
    <dxf>
      <font>
        <color theme="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 tint="0.34998626667073579"/>
      </font>
    </dxf>
    <dxf>
      <font>
        <color theme="1"/>
      </font>
      <fill>
        <patternFill>
          <bgColor theme="3" tint="0.3999450666829432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</font>
      <fill>
        <patternFill>
          <bgColor theme="3" tint="0.59996337778862885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4.9989318521683403E-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70284596778344E-2"/>
          <c:y val="0.16810779945356319"/>
          <c:w val="0.97925943080644362"/>
          <c:h val="0.80935115571850391"/>
        </c:manualLayout>
      </c:layout>
      <c:radarChart>
        <c:radarStyle val="marker"/>
        <c:varyColors val="0"/>
        <c:ser>
          <c:idx val="0"/>
          <c:order val="0"/>
          <c:tx>
            <c:strRef>
              <c:f>UVCE!$AI$11</c:f>
              <c:strCache>
                <c:ptCount val="1"/>
                <c:pt idx="0">
                  <c:v>SEI  :     50 mbar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UVCE!$AJ$9:$CG$10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UVCE!$AJ$11:$CG$11</c:f>
              <c:numCache>
                <c:formatCode>#,##0</c:formatCode>
                <c:ptCount val="50"/>
                <c:pt idx="0">
                  <c:v>3330</c:v>
                </c:pt>
                <c:pt idx="1">
                  <c:v>3330</c:v>
                </c:pt>
                <c:pt idx="2">
                  <c:v>3330</c:v>
                </c:pt>
                <c:pt idx="3">
                  <c:v>3330</c:v>
                </c:pt>
                <c:pt idx="4">
                  <c:v>3330</c:v>
                </c:pt>
                <c:pt idx="5">
                  <c:v>3330</c:v>
                </c:pt>
                <c:pt idx="6">
                  <c:v>3330</c:v>
                </c:pt>
                <c:pt idx="7">
                  <c:v>3330</c:v>
                </c:pt>
                <c:pt idx="8">
                  <c:v>3330</c:v>
                </c:pt>
                <c:pt idx="9">
                  <c:v>3330</c:v>
                </c:pt>
                <c:pt idx="10">
                  <c:v>3330</c:v>
                </c:pt>
                <c:pt idx="11">
                  <c:v>3330</c:v>
                </c:pt>
                <c:pt idx="12">
                  <c:v>3330</c:v>
                </c:pt>
                <c:pt idx="13">
                  <c:v>3330</c:v>
                </c:pt>
                <c:pt idx="14">
                  <c:v>3330</c:v>
                </c:pt>
                <c:pt idx="15">
                  <c:v>3330</c:v>
                </c:pt>
                <c:pt idx="16">
                  <c:v>3330</c:v>
                </c:pt>
                <c:pt idx="17">
                  <c:v>3330</c:v>
                </c:pt>
                <c:pt idx="18">
                  <c:v>3330</c:v>
                </c:pt>
                <c:pt idx="19">
                  <c:v>3330</c:v>
                </c:pt>
                <c:pt idx="20">
                  <c:v>3330</c:v>
                </c:pt>
                <c:pt idx="21">
                  <c:v>3330</c:v>
                </c:pt>
                <c:pt idx="22">
                  <c:v>3330</c:v>
                </c:pt>
                <c:pt idx="23">
                  <c:v>3330</c:v>
                </c:pt>
                <c:pt idx="24">
                  <c:v>3330</c:v>
                </c:pt>
                <c:pt idx="25">
                  <c:v>3330</c:v>
                </c:pt>
                <c:pt idx="26">
                  <c:v>3330</c:v>
                </c:pt>
                <c:pt idx="27">
                  <c:v>3330</c:v>
                </c:pt>
                <c:pt idx="28">
                  <c:v>3330</c:v>
                </c:pt>
                <c:pt idx="29">
                  <c:v>3330</c:v>
                </c:pt>
                <c:pt idx="30">
                  <c:v>3330</c:v>
                </c:pt>
                <c:pt idx="31">
                  <c:v>3330</c:v>
                </c:pt>
                <c:pt idx="32">
                  <c:v>3330</c:v>
                </c:pt>
                <c:pt idx="33">
                  <c:v>3330</c:v>
                </c:pt>
                <c:pt idx="34">
                  <c:v>3330</c:v>
                </c:pt>
                <c:pt idx="35">
                  <c:v>3330</c:v>
                </c:pt>
                <c:pt idx="36">
                  <c:v>3330</c:v>
                </c:pt>
                <c:pt idx="37">
                  <c:v>3330</c:v>
                </c:pt>
                <c:pt idx="38">
                  <c:v>3330</c:v>
                </c:pt>
                <c:pt idx="39">
                  <c:v>3330</c:v>
                </c:pt>
                <c:pt idx="40">
                  <c:v>3330</c:v>
                </c:pt>
                <c:pt idx="41">
                  <c:v>3330</c:v>
                </c:pt>
                <c:pt idx="42">
                  <c:v>3330</c:v>
                </c:pt>
                <c:pt idx="43">
                  <c:v>3330</c:v>
                </c:pt>
                <c:pt idx="44">
                  <c:v>3330</c:v>
                </c:pt>
                <c:pt idx="45">
                  <c:v>3330</c:v>
                </c:pt>
                <c:pt idx="46">
                  <c:v>3330</c:v>
                </c:pt>
                <c:pt idx="47">
                  <c:v>3330</c:v>
                </c:pt>
                <c:pt idx="48">
                  <c:v>3330</c:v>
                </c:pt>
                <c:pt idx="49">
                  <c:v>3330</c:v>
                </c:pt>
              </c:numCache>
            </c:numRef>
          </c:val>
        </c:ser>
        <c:ser>
          <c:idx val="2"/>
          <c:order val="1"/>
          <c:tx>
            <c:strRef>
              <c:f>UVCE!$AI$13</c:f>
              <c:strCache>
                <c:ptCount val="1"/>
                <c:pt idx="0">
                  <c:v>SEL  :   140 mbar</c:v>
                </c:pt>
              </c:strCache>
            </c:strRef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UVCE!$AJ$9:$CG$10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UVCE!$AJ$13:$CG$13</c:f>
              <c:numCache>
                <c:formatCode>#,##0</c:formatCode>
                <c:ptCount val="50"/>
                <c:pt idx="0">
                  <c:v>1670</c:v>
                </c:pt>
                <c:pt idx="1">
                  <c:v>1670</c:v>
                </c:pt>
                <c:pt idx="2">
                  <c:v>1670</c:v>
                </c:pt>
                <c:pt idx="3">
                  <c:v>1670</c:v>
                </c:pt>
                <c:pt idx="4">
                  <c:v>1670</c:v>
                </c:pt>
                <c:pt idx="5">
                  <c:v>1670</c:v>
                </c:pt>
                <c:pt idx="6">
                  <c:v>1670</c:v>
                </c:pt>
                <c:pt idx="7">
                  <c:v>1670</c:v>
                </c:pt>
                <c:pt idx="8">
                  <c:v>1670</c:v>
                </c:pt>
                <c:pt idx="9">
                  <c:v>1670</c:v>
                </c:pt>
                <c:pt idx="10">
                  <c:v>1670</c:v>
                </c:pt>
                <c:pt idx="11">
                  <c:v>1670</c:v>
                </c:pt>
                <c:pt idx="12">
                  <c:v>1670</c:v>
                </c:pt>
                <c:pt idx="13">
                  <c:v>1670</c:v>
                </c:pt>
                <c:pt idx="14">
                  <c:v>1670</c:v>
                </c:pt>
                <c:pt idx="15">
                  <c:v>1670</c:v>
                </c:pt>
                <c:pt idx="16">
                  <c:v>1670</c:v>
                </c:pt>
                <c:pt idx="17">
                  <c:v>1670</c:v>
                </c:pt>
                <c:pt idx="18">
                  <c:v>1670</c:v>
                </c:pt>
                <c:pt idx="19">
                  <c:v>1670</c:v>
                </c:pt>
                <c:pt idx="20">
                  <c:v>1670</c:v>
                </c:pt>
                <c:pt idx="21">
                  <c:v>1670</c:v>
                </c:pt>
                <c:pt idx="22">
                  <c:v>1670</c:v>
                </c:pt>
                <c:pt idx="23">
                  <c:v>1670</c:v>
                </c:pt>
                <c:pt idx="24">
                  <c:v>1670</c:v>
                </c:pt>
                <c:pt idx="25">
                  <c:v>1670</c:v>
                </c:pt>
                <c:pt idx="26">
                  <c:v>1670</c:v>
                </c:pt>
                <c:pt idx="27">
                  <c:v>1670</c:v>
                </c:pt>
                <c:pt idx="28">
                  <c:v>1670</c:v>
                </c:pt>
                <c:pt idx="29">
                  <c:v>1670</c:v>
                </c:pt>
                <c:pt idx="30">
                  <c:v>1670</c:v>
                </c:pt>
                <c:pt idx="31">
                  <c:v>1670</c:v>
                </c:pt>
                <c:pt idx="32">
                  <c:v>1670</c:v>
                </c:pt>
                <c:pt idx="33">
                  <c:v>1670</c:v>
                </c:pt>
                <c:pt idx="34">
                  <c:v>1670</c:v>
                </c:pt>
                <c:pt idx="35">
                  <c:v>1670</c:v>
                </c:pt>
                <c:pt idx="36">
                  <c:v>1670</c:v>
                </c:pt>
                <c:pt idx="37">
                  <c:v>1670</c:v>
                </c:pt>
                <c:pt idx="38">
                  <c:v>1670</c:v>
                </c:pt>
                <c:pt idx="39">
                  <c:v>1670</c:v>
                </c:pt>
                <c:pt idx="40">
                  <c:v>1670</c:v>
                </c:pt>
                <c:pt idx="41">
                  <c:v>1670</c:v>
                </c:pt>
                <c:pt idx="42">
                  <c:v>1670</c:v>
                </c:pt>
                <c:pt idx="43">
                  <c:v>1670</c:v>
                </c:pt>
                <c:pt idx="44">
                  <c:v>1670</c:v>
                </c:pt>
                <c:pt idx="45">
                  <c:v>1670</c:v>
                </c:pt>
                <c:pt idx="46">
                  <c:v>1670</c:v>
                </c:pt>
                <c:pt idx="47">
                  <c:v>1670</c:v>
                </c:pt>
                <c:pt idx="48">
                  <c:v>1670</c:v>
                </c:pt>
                <c:pt idx="49">
                  <c:v>1670</c:v>
                </c:pt>
              </c:numCache>
            </c:numRef>
          </c:val>
        </c:ser>
        <c:ser>
          <c:idx val="4"/>
          <c:order val="2"/>
          <c:tx>
            <c:strRef>
              <c:f>UVCE!$AI$15</c:f>
              <c:strCache>
                <c:ptCount val="1"/>
                <c:pt idx="0">
                  <c:v>SELS  :   200 mbar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UVCE!$AJ$9:$CG$10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UVCE!$AJ$15:$CG$15</c:f>
              <c:numCache>
                <c:formatCode>#,##0</c:formatCode>
                <c:ptCount val="50"/>
                <c:pt idx="0">
                  <c:v>1110</c:v>
                </c:pt>
                <c:pt idx="1">
                  <c:v>1110</c:v>
                </c:pt>
                <c:pt idx="2">
                  <c:v>1110</c:v>
                </c:pt>
                <c:pt idx="3">
                  <c:v>1110</c:v>
                </c:pt>
                <c:pt idx="4">
                  <c:v>1110</c:v>
                </c:pt>
                <c:pt idx="5">
                  <c:v>1110</c:v>
                </c:pt>
                <c:pt idx="6">
                  <c:v>1110</c:v>
                </c:pt>
                <c:pt idx="7">
                  <c:v>1110</c:v>
                </c:pt>
                <c:pt idx="8">
                  <c:v>1110</c:v>
                </c:pt>
                <c:pt idx="9">
                  <c:v>1110</c:v>
                </c:pt>
                <c:pt idx="10">
                  <c:v>1110</c:v>
                </c:pt>
                <c:pt idx="11">
                  <c:v>1110</c:v>
                </c:pt>
                <c:pt idx="12">
                  <c:v>1110</c:v>
                </c:pt>
                <c:pt idx="13">
                  <c:v>1110</c:v>
                </c:pt>
                <c:pt idx="14">
                  <c:v>1110</c:v>
                </c:pt>
                <c:pt idx="15">
                  <c:v>1110</c:v>
                </c:pt>
                <c:pt idx="16">
                  <c:v>1110</c:v>
                </c:pt>
                <c:pt idx="17">
                  <c:v>1110</c:v>
                </c:pt>
                <c:pt idx="18">
                  <c:v>1110</c:v>
                </c:pt>
                <c:pt idx="19">
                  <c:v>1110</c:v>
                </c:pt>
                <c:pt idx="20">
                  <c:v>1110</c:v>
                </c:pt>
                <c:pt idx="21">
                  <c:v>1110</c:v>
                </c:pt>
                <c:pt idx="22">
                  <c:v>1110</c:v>
                </c:pt>
                <c:pt idx="23">
                  <c:v>1110</c:v>
                </c:pt>
                <c:pt idx="24">
                  <c:v>1110</c:v>
                </c:pt>
                <c:pt idx="25">
                  <c:v>1110</c:v>
                </c:pt>
                <c:pt idx="26">
                  <c:v>1110</c:v>
                </c:pt>
                <c:pt idx="27">
                  <c:v>1110</c:v>
                </c:pt>
                <c:pt idx="28">
                  <c:v>1110</c:v>
                </c:pt>
                <c:pt idx="29">
                  <c:v>1110</c:v>
                </c:pt>
                <c:pt idx="30">
                  <c:v>1110</c:v>
                </c:pt>
                <c:pt idx="31">
                  <c:v>1110</c:v>
                </c:pt>
                <c:pt idx="32">
                  <c:v>1110</c:v>
                </c:pt>
                <c:pt idx="33">
                  <c:v>1110</c:v>
                </c:pt>
                <c:pt idx="34">
                  <c:v>1110</c:v>
                </c:pt>
                <c:pt idx="35">
                  <c:v>1110</c:v>
                </c:pt>
                <c:pt idx="36">
                  <c:v>1110</c:v>
                </c:pt>
                <c:pt idx="37">
                  <c:v>1110</c:v>
                </c:pt>
                <c:pt idx="38">
                  <c:v>1110</c:v>
                </c:pt>
                <c:pt idx="39">
                  <c:v>1110</c:v>
                </c:pt>
                <c:pt idx="40">
                  <c:v>1110</c:v>
                </c:pt>
                <c:pt idx="41">
                  <c:v>1110</c:v>
                </c:pt>
                <c:pt idx="42">
                  <c:v>1110</c:v>
                </c:pt>
                <c:pt idx="43">
                  <c:v>1110</c:v>
                </c:pt>
                <c:pt idx="44">
                  <c:v>1110</c:v>
                </c:pt>
                <c:pt idx="45">
                  <c:v>1110</c:v>
                </c:pt>
                <c:pt idx="46">
                  <c:v>1110</c:v>
                </c:pt>
                <c:pt idx="47">
                  <c:v>1110</c:v>
                </c:pt>
                <c:pt idx="48">
                  <c:v>1110</c:v>
                </c:pt>
                <c:pt idx="49">
                  <c:v>1110</c:v>
                </c:pt>
              </c:numCache>
            </c:numRef>
          </c:val>
        </c:ser>
        <c:ser>
          <c:idx val="6"/>
          <c:order val="3"/>
          <c:tx>
            <c:strRef>
              <c:f>UVCE!$AI$17</c:f>
              <c:strCache>
                <c:ptCount val="1"/>
                <c:pt idx="0">
                  <c:v>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UVCE!$AJ$9:$CG$10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UVCE!$AJ$17:$CG$17</c:f>
              <c:numCache>
                <c:formatCode>#,##0</c:formatCode>
                <c:ptCount val="50"/>
                <c:pt idx="0">
                  <c:v>11090</c:v>
                </c:pt>
                <c:pt idx="1">
                  <c:v>11090</c:v>
                </c:pt>
                <c:pt idx="2">
                  <c:v>11090</c:v>
                </c:pt>
                <c:pt idx="3">
                  <c:v>11090</c:v>
                </c:pt>
                <c:pt idx="4">
                  <c:v>11090</c:v>
                </c:pt>
                <c:pt idx="5">
                  <c:v>11090</c:v>
                </c:pt>
                <c:pt idx="6">
                  <c:v>11090</c:v>
                </c:pt>
                <c:pt idx="7">
                  <c:v>11090</c:v>
                </c:pt>
                <c:pt idx="8">
                  <c:v>11090</c:v>
                </c:pt>
                <c:pt idx="9">
                  <c:v>11090</c:v>
                </c:pt>
                <c:pt idx="10">
                  <c:v>11090</c:v>
                </c:pt>
                <c:pt idx="11">
                  <c:v>11090</c:v>
                </c:pt>
                <c:pt idx="12">
                  <c:v>11090</c:v>
                </c:pt>
                <c:pt idx="13">
                  <c:v>11090</c:v>
                </c:pt>
                <c:pt idx="14">
                  <c:v>11090</c:v>
                </c:pt>
                <c:pt idx="15">
                  <c:v>11090</c:v>
                </c:pt>
                <c:pt idx="16">
                  <c:v>11090</c:v>
                </c:pt>
                <c:pt idx="17">
                  <c:v>11090</c:v>
                </c:pt>
                <c:pt idx="18">
                  <c:v>11090</c:v>
                </c:pt>
                <c:pt idx="19">
                  <c:v>11090</c:v>
                </c:pt>
                <c:pt idx="20">
                  <c:v>11090</c:v>
                </c:pt>
                <c:pt idx="21">
                  <c:v>11090</c:v>
                </c:pt>
                <c:pt idx="22">
                  <c:v>11090</c:v>
                </c:pt>
                <c:pt idx="23">
                  <c:v>11090</c:v>
                </c:pt>
                <c:pt idx="24">
                  <c:v>11090</c:v>
                </c:pt>
                <c:pt idx="25">
                  <c:v>11090</c:v>
                </c:pt>
                <c:pt idx="26">
                  <c:v>11090</c:v>
                </c:pt>
                <c:pt idx="27">
                  <c:v>11090</c:v>
                </c:pt>
                <c:pt idx="28">
                  <c:v>11090</c:v>
                </c:pt>
                <c:pt idx="29">
                  <c:v>11090</c:v>
                </c:pt>
                <c:pt idx="30">
                  <c:v>11090</c:v>
                </c:pt>
                <c:pt idx="31">
                  <c:v>11090</c:v>
                </c:pt>
                <c:pt idx="32">
                  <c:v>11090</c:v>
                </c:pt>
                <c:pt idx="33">
                  <c:v>11090</c:v>
                </c:pt>
                <c:pt idx="34">
                  <c:v>11090</c:v>
                </c:pt>
                <c:pt idx="35">
                  <c:v>11090</c:v>
                </c:pt>
                <c:pt idx="36">
                  <c:v>11090</c:v>
                </c:pt>
                <c:pt idx="37">
                  <c:v>11090</c:v>
                </c:pt>
                <c:pt idx="38">
                  <c:v>11090</c:v>
                </c:pt>
                <c:pt idx="39">
                  <c:v>11090</c:v>
                </c:pt>
                <c:pt idx="40">
                  <c:v>11090</c:v>
                </c:pt>
                <c:pt idx="41">
                  <c:v>11090</c:v>
                </c:pt>
                <c:pt idx="42">
                  <c:v>11090</c:v>
                </c:pt>
                <c:pt idx="43">
                  <c:v>11090</c:v>
                </c:pt>
                <c:pt idx="44">
                  <c:v>11090</c:v>
                </c:pt>
                <c:pt idx="45">
                  <c:v>11090</c:v>
                </c:pt>
                <c:pt idx="46">
                  <c:v>11090</c:v>
                </c:pt>
                <c:pt idx="47">
                  <c:v>11090</c:v>
                </c:pt>
                <c:pt idx="48">
                  <c:v>11090</c:v>
                </c:pt>
                <c:pt idx="49">
                  <c:v>11090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670352"/>
        <c:axId val="208535544"/>
      </c:radarChart>
      <c:catAx>
        <c:axId val="26967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535544"/>
        <c:crosses val="autoZero"/>
        <c:auto val="0"/>
        <c:lblAlgn val="ctr"/>
        <c:lblOffset val="100"/>
        <c:noMultiLvlLbl val="0"/>
      </c:catAx>
      <c:valAx>
        <c:axId val="2085355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69670352"/>
        <c:crosses val="autoZero"/>
        <c:crossBetween val="between"/>
      </c:valAx>
      <c:spPr>
        <a:gradFill flip="none" rotWithShape="1">
          <a:gsLst>
            <a:gs pos="0">
              <a:srgbClr val="FF0000">
                <a:alpha val="38000"/>
              </a:srgbClr>
            </a:gs>
            <a:gs pos="50000">
              <a:srgbClr val="F79646">
                <a:lumMod val="60000"/>
                <a:lumOff val="40000"/>
                <a:alpha val="17000"/>
              </a:srgbClr>
            </a:gs>
            <a:gs pos="100000">
              <a:sysClr val="window" lastClr="FFFFFF"/>
            </a:gs>
          </a:gsLst>
          <a:path path="circle">
            <a:fillToRect l="50000" t="50000" r="50000" b="50000"/>
          </a:path>
          <a:tileRect/>
        </a:gradFill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0130686569990356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79208188844546E-2"/>
          <c:y val="1.0617689738014241E-2"/>
          <c:w val="0.80477509304246364"/>
          <c:h val="0.97255006208756933"/>
        </c:manualLayout>
      </c:layout>
      <c:scatterChart>
        <c:scatterStyle val="lineMarker"/>
        <c:varyColors val="0"/>
        <c:ser>
          <c:idx val="0"/>
          <c:order val="0"/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UVCE!$AG$60:$AG$61</c:f>
              <c:numCache>
                <c:formatCode>#,##0</c:formatCode>
                <c:ptCount val="2"/>
                <c:pt idx="0">
                  <c:v>0.23460088259239162</c:v>
                </c:pt>
                <c:pt idx="1">
                  <c:v>0.23460088259239162</c:v>
                </c:pt>
              </c:numCache>
            </c:numRef>
          </c:xVal>
          <c:yVal>
            <c:numRef>
              <c:f>UVCE!$AF$60:$AF$61</c:f>
              <c:numCache>
                <c:formatCode>0.0000</c:formatCode>
                <c:ptCount val="2"/>
                <c:pt idx="0">
                  <c:v>1E-3</c:v>
                </c:pt>
                <c:pt idx="1">
                  <c:v>10</c:v>
                </c:pt>
              </c:numCache>
            </c:numRef>
          </c:yVal>
          <c:smooth val="0"/>
        </c:ser>
        <c:ser>
          <c:idx val="1"/>
          <c:order val="1"/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UVCE!$AG$62:$AG$63</c:f>
              <c:numCache>
                <c:formatCode>#,##0</c:formatCode>
                <c:ptCount val="2"/>
                <c:pt idx="0" formatCode="#,##0.00">
                  <c:v>0.1</c:v>
                </c:pt>
                <c:pt idx="1">
                  <c:v>100</c:v>
                </c:pt>
              </c:numCache>
            </c:numRef>
          </c:xVal>
          <c:yVal>
            <c:numRef>
              <c:f>UVCE!$AF$62:$AF$63</c:f>
              <c:numCache>
                <c:formatCode>0.0000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504592"/>
        <c:axId val="270967720"/>
      </c:scatterChart>
      <c:valAx>
        <c:axId val="270504592"/>
        <c:scaling>
          <c:logBase val="10"/>
          <c:orientation val="minMax"/>
          <c:min val="0.1"/>
        </c:scaling>
        <c:delete val="1"/>
        <c:axPos val="b"/>
        <c:majorGridlines/>
        <c:minorGridlines/>
        <c:numFmt formatCode="#,##0" sourceLinked="1"/>
        <c:majorTickMark val="out"/>
        <c:minorTickMark val="none"/>
        <c:tickLblPos val="none"/>
        <c:crossAx val="270967720"/>
        <c:crossesAt val="1.0000000000000015E-3"/>
        <c:crossBetween val="midCat"/>
        <c:majorUnit val="10"/>
      </c:valAx>
      <c:valAx>
        <c:axId val="270967720"/>
        <c:scaling>
          <c:logBase val="10"/>
          <c:orientation val="minMax"/>
          <c:min val="1.0000000000000015E-3"/>
        </c:scaling>
        <c:delete val="1"/>
        <c:axPos val="l"/>
        <c:majorGridlines/>
        <c:minorGridlines/>
        <c:numFmt formatCode="0.0000" sourceLinked="1"/>
        <c:majorTickMark val="out"/>
        <c:minorTickMark val="none"/>
        <c:tickLblPos val="none"/>
        <c:crossAx val="270504592"/>
        <c:crossesAt val="0.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68838682906067E-2"/>
          <c:y val="2.1283130638144881E-2"/>
          <c:w val="0.81680234553495257"/>
          <c:h val="0.93130691610184468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Feuil3!$B$4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Feuil3!$C$4:$AD$4</c:f>
              <c:numCache>
                <c:formatCode>0.0000</c:formatCode>
                <c:ptCount val="2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8.9999999999999993E-3</c:v>
                </c:pt>
                <c:pt idx="7">
                  <c:v>8.5000000000000006E-3</c:v>
                </c:pt>
                <c:pt idx="8">
                  <c:v>7.0000000000000001E-3</c:v>
                </c:pt>
                <c:pt idx="9">
                  <c:v>6.4999999999999997E-3</c:v>
                </c:pt>
                <c:pt idx="10">
                  <c:v>3.3E-3</c:v>
                </c:pt>
                <c:pt idx="11">
                  <c:v>2.3E-3</c:v>
                </c:pt>
                <c:pt idx="12">
                  <c:v>1.8E-3</c:v>
                </c:pt>
                <c:pt idx="13">
                  <c:v>1.5E-3</c:v>
                </c:pt>
                <c:pt idx="14">
                  <c:v>1.1999999999999999E-3</c:v>
                </c:pt>
                <c:pt idx="15">
                  <c:v>1E-3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Feuil3!$B$5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Feuil3!$C$5:$AD$5</c:f>
              <c:numCache>
                <c:formatCode>0.0000</c:formatCode>
                <c:ptCount val="28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1.9E-2</c:v>
                </c:pt>
                <c:pt idx="7">
                  <c:v>1.7999999999999999E-2</c:v>
                </c:pt>
                <c:pt idx="8">
                  <c:v>1.7000000000000001E-2</c:v>
                </c:pt>
                <c:pt idx="9">
                  <c:v>1.4999999999999999E-2</c:v>
                </c:pt>
                <c:pt idx="10">
                  <c:v>7.0000000000000001E-3</c:v>
                </c:pt>
                <c:pt idx="11">
                  <c:v>4.5999999999999999E-3</c:v>
                </c:pt>
                <c:pt idx="12">
                  <c:v>3.5000000000000001E-3</c:v>
                </c:pt>
                <c:pt idx="13">
                  <c:v>2.8E-3</c:v>
                </c:pt>
                <c:pt idx="14">
                  <c:v>2.3E-3</c:v>
                </c:pt>
                <c:pt idx="15">
                  <c:v>2E-3</c:v>
                </c:pt>
                <c:pt idx="16">
                  <c:v>1.8E-3</c:v>
                </c:pt>
                <c:pt idx="17">
                  <c:v>1.6999999999999999E-3</c:v>
                </c:pt>
                <c:pt idx="18">
                  <c:v>1.5E-3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Feuil3!$B$6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Feuil3!$C$6:$AD$6</c:f>
              <c:numCache>
                <c:formatCode>0.0000</c:formatCode>
                <c:ptCount val="2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4.4999999999999998E-2</c:v>
                </c:pt>
                <c:pt idx="7">
                  <c:v>0.04</c:v>
                </c:pt>
                <c:pt idx="8">
                  <c:v>3.5000000000000003E-2</c:v>
                </c:pt>
                <c:pt idx="9">
                  <c:v>3.2000000000000001E-2</c:v>
                </c:pt>
                <c:pt idx="10">
                  <c:v>1.7999999999999999E-2</c:v>
                </c:pt>
                <c:pt idx="11">
                  <c:v>1.0999999999999999E-2</c:v>
                </c:pt>
                <c:pt idx="12">
                  <c:v>8.0000000000000002E-3</c:v>
                </c:pt>
                <c:pt idx="13">
                  <c:v>6.4999999999999997E-3</c:v>
                </c:pt>
                <c:pt idx="14">
                  <c:v>5.4999999999999997E-3</c:v>
                </c:pt>
                <c:pt idx="15">
                  <c:v>4.7999999999999996E-3</c:v>
                </c:pt>
                <c:pt idx="16">
                  <c:v>4.0000000000000001E-3</c:v>
                </c:pt>
                <c:pt idx="17">
                  <c:v>3.8E-3</c:v>
                </c:pt>
                <c:pt idx="18">
                  <c:v>3.2000000000000002E-3</c:v>
                </c:pt>
                <c:pt idx="19">
                  <c:v>1.8E-3</c:v>
                </c:pt>
                <c:pt idx="20">
                  <c:v>1.1000000000000001E-3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Feuil3!$B$7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Feuil3!$C$7:$AD$7</c:f>
              <c:numCache>
                <c:formatCode>0.0000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9.5000000000000001E-2</c:v>
                </c:pt>
                <c:pt idx="6">
                  <c:v>0.09</c:v>
                </c:pt>
                <c:pt idx="7">
                  <c:v>0.08</c:v>
                </c:pt>
                <c:pt idx="8">
                  <c:v>7.4999999999999997E-2</c:v>
                </c:pt>
                <c:pt idx="9">
                  <c:v>6.8000000000000005E-2</c:v>
                </c:pt>
                <c:pt idx="10">
                  <c:v>3.3000000000000002E-2</c:v>
                </c:pt>
                <c:pt idx="11">
                  <c:v>2.3E-2</c:v>
                </c:pt>
                <c:pt idx="12">
                  <c:v>1.7999999999999999E-2</c:v>
                </c:pt>
                <c:pt idx="13">
                  <c:v>1.4999999999999999E-2</c:v>
                </c:pt>
                <c:pt idx="14">
                  <c:v>1.0999999999999999E-2</c:v>
                </c:pt>
                <c:pt idx="15">
                  <c:v>9.4999999999999998E-3</c:v>
                </c:pt>
                <c:pt idx="16">
                  <c:v>8.5000000000000006E-3</c:v>
                </c:pt>
                <c:pt idx="17">
                  <c:v>7.4999999999999997E-3</c:v>
                </c:pt>
                <c:pt idx="18">
                  <c:v>6.4999999999999997E-3</c:v>
                </c:pt>
                <c:pt idx="19">
                  <c:v>3.2000000000000002E-3</c:v>
                </c:pt>
                <c:pt idx="20">
                  <c:v>2.3E-3</c:v>
                </c:pt>
                <c:pt idx="21">
                  <c:v>1.8E-3</c:v>
                </c:pt>
                <c:pt idx="22">
                  <c:v>1.4E-3</c:v>
                </c:pt>
                <c:pt idx="23">
                  <c:v>1.1999999999999999E-3</c:v>
                </c:pt>
                <c:pt idx="24">
                  <c:v>1E-3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Feuil3!$B$8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Feuil3!$C$8:$AD$8</c:f>
              <c:numCache>
                <c:formatCode>0.0000</c:formatCode>
                <c:ptCount val="2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0.19</c:v>
                </c:pt>
                <c:pt idx="6">
                  <c:v>0.18</c:v>
                </c:pt>
                <c:pt idx="7">
                  <c:v>0.17</c:v>
                </c:pt>
                <c:pt idx="8">
                  <c:v>0.14000000000000001</c:v>
                </c:pt>
                <c:pt idx="9">
                  <c:v>0.12</c:v>
                </c:pt>
                <c:pt idx="10">
                  <c:v>0.06</c:v>
                </c:pt>
                <c:pt idx="11">
                  <c:v>0.04</c:v>
                </c:pt>
                <c:pt idx="12">
                  <c:v>0.03</c:v>
                </c:pt>
                <c:pt idx="13">
                  <c:v>2.5000000000000001E-2</c:v>
                </c:pt>
                <c:pt idx="14">
                  <c:v>0.02</c:v>
                </c:pt>
                <c:pt idx="15">
                  <c:v>1.7999999999999999E-2</c:v>
                </c:pt>
                <c:pt idx="16">
                  <c:v>1.6E-2</c:v>
                </c:pt>
                <c:pt idx="17">
                  <c:v>1.4E-2</c:v>
                </c:pt>
                <c:pt idx="18">
                  <c:v>1.2E-2</c:v>
                </c:pt>
                <c:pt idx="19">
                  <c:v>6.0000000000000001E-3</c:v>
                </c:pt>
                <c:pt idx="20">
                  <c:v>4.0000000000000001E-3</c:v>
                </c:pt>
                <c:pt idx="21">
                  <c:v>3.0000000000000001E-3</c:v>
                </c:pt>
                <c:pt idx="22">
                  <c:v>2.5000000000000001E-3</c:v>
                </c:pt>
                <c:pt idx="23">
                  <c:v>2E-3</c:v>
                </c:pt>
                <c:pt idx="24">
                  <c:v>1.8E-3</c:v>
                </c:pt>
                <c:pt idx="25">
                  <c:v>1.6000000000000001E-3</c:v>
                </c:pt>
                <c:pt idx="26">
                  <c:v>1.4E-3</c:v>
                </c:pt>
                <c:pt idx="27">
                  <c:v>1.1999999999999999E-3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Feuil3!$B$9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Feuil3!$C$9:$AD$9</c:f>
              <c:numCache>
                <c:formatCode>0.0000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0.46</c:v>
                </c:pt>
                <c:pt idx="6">
                  <c:v>0.42</c:v>
                </c:pt>
                <c:pt idx="7">
                  <c:v>0.4</c:v>
                </c:pt>
                <c:pt idx="8">
                  <c:v>0.38</c:v>
                </c:pt>
                <c:pt idx="9">
                  <c:v>0.32</c:v>
                </c:pt>
                <c:pt idx="10">
                  <c:v>0.16</c:v>
                </c:pt>
                <c:pt idx="11">
                  <c:v>0.09</c:v>
                </c:pt>
                <c:pt idx="12">
                  <c:v>6.8000000000000005E-2</c:v>
                </c:pt>
                <c:pt idx="13">
                  <c:v>5.0999999999999997E-2</c:v>
                </c:pt>
                <c:pt idx="14">
                  <c:v>4.2000000000000003E-2</c:v>
                </c:pt>
                <c:pt idx="15">
                  <c:v>3.6999999999999998E-2</c:v>
                </c:pt>
                <c:pt idx="16">
                  <c:v>0.03</c:v>
                </c:pt>
                <c:pt idx="17">
                  <c:v>2.8000000000000001E-2</c:v>
                </c:pt>
                <c:pt idx="18">
                  <c:v>2.4E-2</c:v>
                </c:pt>
                <c:pt idx="19">
                  <c:v>1.0999999999999999E-2</c:v>
                </c:pt>
                <c:pt idx="20">
                  <c:v>7.0000000000000001E-3</c:v>
                </c:pt>
                <c:pt idx="21">
                  <c:v>5.0000000000000001E-3</c:v>
                </c:pt>
                <c:pt idx="22">
                  <c:v>4.0000000000000001E-3</c:v>
                </c:pt>
                <c:pt idx="23">
                  <c:v>3.3E-3</c:v>
                </c:pt>
                <c:pt idx="24">
                  <c:v>2.8E-3</c:v>
                </c:pt>
                <c:pt idx="25">
                  <c:v>2.5000000000000001E-3</c:v>
                </c:pt>
                <c:pt idx="26">
                  <c:v>2E-3</c:v>
                </c:pt>
                <c:pt idx="27">
                  <c:v>1.8E-3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Feuil3!$B$10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Feuil3!$C$10:$AD$10</c:f>
              <c:numCache>
                <c:formatCode>0.0000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0.92</c:v>
                </c:pt>
                <c:pt idx="5">
                  <c:v>0.82</c:v>
                </c:pt>
                <c:pt idx="6">
                  <c:v>0.75</c:v>
                </c:pt>
                <c:pt idx="7">
                  <c:v>0.6</c:v>
                </c:pt>
                <c:pt idx="8">
                  <c:v>0.5</c:v>
                </c:pt>
                <c:pt idx="9">
                  <c:v>0.45</c:v>
                </c:pt>
                <c:pt idx="10">
                  <c:v>0.17</c:v>
                </c:pt>
                <c:pt idx="11">
                  <c:v>0.09</c:v>
                </c:pt>
                <c:pt idx="12">
                  <c:v>6.8000000000000005E-2</c:v>
                </c:pt>
                <c:pt idx="13">
                  <c:v>5.0999999999999997E-2</c:v>
                </c:pt>
                <c:pt idx="14">
                  <c:v>4.2000000000000003E-2</c:v>
                </c:pt>
                <c:pt idx="15">
                  <c:v>3.6999999999999998E-2</c:v>
                </c:pt>
                <c:pt idx="16">
                  <c:v>0.03</c:v>
                </c:pt>
                <c:pt idx="17">
                  <c:v>2.8000000000000001E-2</c:v>
                </c:pt>
                <c:pt idx="18">
                  <c:v>2.4E-2</c:v>
                </c:pt>
                <c:pt idx="19">
                  <c:v>1.0999999999999999E-2</c:v>
                </c:pt>
                <c:pt idx="20">
                  <c:v>7.0000000000000001E-3</c:v>
                </c:pt>
                <c:pt idx="21">
                  <c:v>5.0000000000000001E-3</c:v>
                </c:pt>
                <c:pt idx="22">
                  <c:v>4.0000000000000001E-3</c:v>
                </c:pt>
                <c:pt idx="23">
                  <c:v>3.3E-3</c:v>
                </c:pt>
                <c:pt idx="24">
                  <c:v>2.8E-3</c:v>
                </c:pt>
                <c:pt idx="25">
                  <c:v>2.5000000000000001E-3</c:v>
                </c:pt>
                <c:pt idx="26">
                  <c:v>2E-3</c:v>
                </c:pt>
                <c:pt idx="27">
                  <c:v>1.8E-3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Feuil3!$B$11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Feuil3!$C$11:$AD$11</c:f>
              <c:numCache>
                <c:formatCode>0.0000</c:formatCod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1.8</c:v>
                </c:pt>
                <c:pt idx="5">
                  <c:v>1.4</c:v>
                </c:pt>
                <c:pt idx="6">
                  <c:v>1</c:v>
                </c:pt>
                <c:pt idx="7">
                  <c:v>0.8</c:v>
                </c:pt>
                <c:pt idx="8">
                  <c:v>0.6</c:v>
                </c:pt>
                <c:pt idx="9">
                  <c:v>0.5</c:v>
                </c:pt>
                <c:pt idx="10">
                  <c:v>0.17</c:v>
                </c:pt>
                <c:pt idx="11">
                  <c:v>0.09</c:v>
                </c:pt>
                <c:pt idx="12">
                  <c:v>6.8000000000000005E-2</c:v>
                </c:pt>
                <c:pt idx="13">
                  <c:v>5.0999999999999997E-2</c:v>
                </c:pt>
                <c:pt idx="14">
                  <c:v>4.2000000000000003E-2</c:v>
                </c:pt>
                <c:pt idx="15">
                  <c:v>3.6999999999999998E-2</c:v>
                </c:pt>
                <c:pt idx="16">
                  <c:v>0.03</c:v>
                </c:pt>
                <c:pt idx="17">
                  <c:v>2.8000000000000001E-2</c:v>
                </c:pt>
                <c:pt idx="18">
                  <c:v>2.4E-2</c:v>
                </c:pt>
                <c:pt idx="19">
                  <c:v>1.0999999999999999E-2</c:v>
                </c:pt>
                <c:pt idx="20">
                  <c:v>7.0000000000000001E-3</c:v>
                </c:pt>
                <c:pt idx="21">
                  <c:v>5.0000000000000001E-3</c:v>
                </c:pt>
                <c:pt idx="22">
                  <c:v>4.0000000000000001E-3</c:v>
                </c:pt>
                <c:pt idx="23">
                  <c:v>3.3E-3</c:v>
                </c:pt>
                <c:pt idx="24">
                  <c:v>2.8E-3</c:v>
                </c:pt>
                <c:pt idx="25">
                  <c:v>2.5000000000000001E-3</c:v>
                </c:pt>
                <c:pt idx="26">
                  <c:v>2E-3</c:v>
                </c:pt>
                <c:pt idx="27">
                  <c:v>1.8E-3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Feuil3!$B$12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Feuil3!$C$12:$AD$12</c:f>
              <c:numCache>
                <c:formatCode>0.0000</c:formatCode>
                <c:ptCount val="2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3.9</c:v>
                </c:pt>
                <c:pt idx="4">
                  <c:v>2</c:v>
                </c:pt>
                <c:pt idx="5">
                  <c:v>1.4</c:v>
                </c:pt>
                <c:pt idx="6">
                  <c:v>1</c:v>
                </c:pt>
                <c:pt idx="7">
                  <c:v>0.8</c:v>
                </c:pt>
                <c:pt idx="8">
                  <c:v>0.6</c:v>
                </c:pt>
                <c:pt idx="9">
                  <c:v>0.5</c:v>
                </c:pt>
                <c:pt idx="10">
                  <c:v>0.17</c:v>
                </c:pt>
                <c:pt idx="11">
                  <c:v>0.09</c:v>
                </c:pt>
                <c:pt idx="12">
                  <c:v>6.8000000000000005E-2</c:v>
                </c:pt>
                <c:pt idx="13">
                  <c:v>5.0999999999999997E-2</c:v>
                </c:pt>
                <c:pt idx="14">
                  <c:v>4.2000000000000003E-2</c:v>
                </c:pt>
                <c:pt idx="15">
                  <c:v>3.6999999999999998E-2</c:v>
                </c:pt>
                <c:pt idx="16">
                  <c:v>0.03</c:v>
                </c:pt>
                <c:pt idx="17">
                  <c:v>2.8000000000000001E-2</c:v>
                </c:pt>
                <c:pt idx="18">
                  <c:v>2.4E-2</c:v>
                </c:pt>
                <c:pt idx="19">
                  <c:v>1.0999999999999999E-2</c:v>
                </c:pt>
                <c:pt idx="20">
                  <c:v>7.0000000000000001E-3</c:v>
                </c:pt>
                <c:pt idx="21">
                  <c:v>5.0000000000000001E-3</c:v>
                </c:pt>
                <c:pt idx="22">
                  <c:v>4.0000000000000001E-3</c:v>
                </c:pt>
                <c:pt idx="23">
                  <c:v>3.3E-3</c:v>
                </c:pt>
                <c:pt idx="24">
                  <c:v>2.8E-3</c:v>
                </c:pt>
                <c:pt idx="25">
                  <c:v>2.5000000000000001E-3</c:v>
                </c:pt>
                <c:pt idx="26">
                  <c:v>2E-3</c:v>
                </c:pt>
                <c:pt idx="27">
                  <c:v>1.8E-3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Feuil3!$B$13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Feuil3!$C$3:$AD$3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Feuil3!$C$13:$AD$13</c:f>
              <c:numCache>
                <c:formatCode>0.0000</c:formatCode>
                <c:ptCount val="28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3.9</c:v>
                </c:pt>
                <c:pt idx="4">
                  <c:v>2</c:v>
                </c:pt>
                <c:pt idx="5">
                  <c:v>1.4</c:v>
                </c:pt>
                <c:pt idx="6">
                  <c:v>1</c:v>
                </c:pt>
                <c:pt idx="7">
                  <c:v>0.8</c:v>
                </c:pt>
                <c:pt idx="8">
                  <c:v>0.6</c:v>
                </c:pt>
                <c:pt idx="9">
                  <c:v>0.5</c:v>
                </c:pt>
                <c:pt idx="10">
                  <c:v>0.17</c:v>
                </c:pt>
                <c:pt idx="11">
                  <c:v>0.09</c:v>
                </c:pt>
                <c:pt idx="12">
                  <c:v>6.8000000000000005E-2</c:v>
                </c:pt>
                <c:pt idx="13">
                  <c:v>5.0999999999999997E-2</c:v>
                </c:pt>
                <c:pt idx="14">
                  <c:v>4.2000000000000003E-2</c:v>
                </c:pt>
                <c:pt idx="15">
                  <c:v>3.6999999999999998E-2</c:v>
                </c:pt>
                <c:pt idx="16">
                  <c:v>0.03</c:v>
                </c:pt>
                <c:pt idx="17">
                  <c:v>2.8000000000000001E-2</c:v>
                </c:pt>
                <c:pt idx="18">
                  <c:v>2.4E-2</c:v>
                </c:pt>
                <c:pt idx="19">
                  <c:v>1.0999999999999999E-2</c:v>
                </c:pt>
                <c:pt idx="20">
                  <c:v>7.0000000000000001E-3</c:v>
                </c:pt>
                <c:pt idx="21">
                  <c:v>5.0000000000000001E-3</c:v>
                </c:pt>
                <c:pt idx="22">
                  <c:v>4.0000000000000001E-3</c:v>
                </c:pt>
                <c:pt idx="23">
                  <c:v>3.3E-3</c:v>
                </c:pt>
                <c:pt idx="24">
                  <c:v>2.8E-3</c:v>
                </c:pt>
                <c:pt idx="25">
                  <c:v>2.5000000000000001E-3</c:v>
                </c:pt>
                <c:pt idx="26">
                  <c:v>2E-3</c:v>
                </c:pt>
                <c:pt idx="27">
                  <c:v>1.8E-3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949136"/>
        <c:axId val="270119120"/>
      </c:scatterChart>
      <c:valAx>
        <c:axId val="271949136"/>
        <c:scaling>
          <c:logBase val="10"/>
          <c:orientation val="minMax"/>
          <c:min val="0.1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70119120"/>
        <c:crossesAt val="1.0000000000000015E-3"/>
        <c:crossBetween val="midCat"/>
        <c:majorUnit val="10"/>
      </c:valAx>
      <c:valAx>
        <c:axId val="270119120"/>
        <c:scaling>
          <c:logBase val="10"/>
          <c:orientation val="minMax"/>
          <c:min val="1.0000000000000015E-3"/>
        </c:scaling>
        <c:delete val="0"/>
        <c:axPos val="l"/>
        <c:majorGridlines/>
        <c:minorGridlines/>
        <c:numFmt formatCode="0.0000" sourceLinked="1"/>
        <c:majorTickMark val="out"/>
        <c:minorTickMark val="none"/>
        <c:tickLblPos val="nextTo"/>
        <c:crossAx val="271949136"/>
        <c:crossesAt val="0.1"/>
        <c:crossBetween val="midCat"/>
      </c:valAx>
    </c:plotArea>
    <c:legend>
      <c:legendPos val="r"/>
      <c:layout>
        <c:manualLayout>
          <c:xMode val="edge"/>
          <c:yMode val="edge"/>
          <c:x val="0.72960785402530004"/>
          <c:y val="0.19323683504633099"/>
          <c:w val="7.5486600846262478E-2"/>
          <c:h val="0.312312869041435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79208188844546E-2"/>
          <c:y val="1.0617689738014241E-2"/>
          <c:w val="0.80477509304246364"/>
          <c:h val="0.97255006208756933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Feuil3!$B$18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Feuil3!$C$18:$AD$18</c:f>
              <c:numCache>
                <c:formatCode>0.0000</c:formatCode>
                <c:ptCount val="2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8.5714285714285701E-3</c:v>
                </c:pt>
                <c:pt idx="7">
                  <c:v>7.499999999999998E-3</c:v>
                </c:pt>
                <c:pt idx="8">
                  <c:v>6.6666666666666628E-3</c:v>
                </c:pt>
                <c:pt idx="9">
                  <c:v>5.9999999999999932E-3</c:v>
                </c:pt>
                <c:pt idx="10">
                  <c:v>2.9999999999999992E-3</c:v>
                </c:pt>
                <c:pt idx="11">
                  <c:v>1.9999999999999987E-3</c:v>
                </c:pt>
                <c:pt idx="12">
                  <c:v>1.4999999999999994E-3</c:v>
                </c:pt>
                <c:pt idx="13">
                  <c:v>1.1999999999999984E-3</c:v>
                </c:pt>
                <c:pt idx="14">
                  <c:v>1E-3</c:v>
                </c:pt>
                <c:pt idx="15" formatCode="0.00000">
                  <c:v>8.5714285714285677E-4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Feuil3!$B$19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Feuil3!$C$19:$AD$19</c:f>
              <c:numCache>
                <c:formatCode>0.0000</c:formatCode>
                <c:ptCount val="28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1.9999999999999993E-2</c:v>
                </c:pt>
                <c:pt idx="6">
                  <c:v>1.7142857142857144E-2</c:v>
                </c:pt>
                <c:pt idx="7">
                  <c:v>1.4999999999999996E-2</c:v>
                </c:pt>
                <c:pt idx="8">
                  <c:v>1.3333333333333326E-2</c:v>
                </c:pt>
                <c:pt idx="9">
                  <c:v>1.1999999999999999E-2</c:v>
                </c:pt>
                <c:pt idx="10">
                  <c:v>5.9999999999999984E-3</c:v>
                </c:pt>
                <c:pt idx="11">
                  <c:v>3.9999999999999983E-3</c:v>
                </c:pt>
                <c:pt idx="12">
                  <c:v>2.9999999999999992E-3</c:v>
                </c:pt>
                <c:pt idx="13">
                  <c:v>2.3999999999999972E-3</c:v>
                </c:pt>
                <c:pt idx="14">
                  <c:v>1.9999999999999987E-3</c:v>
                </c:pt>
                <c:pt idx="15">
                  <c:v>1.7142857142857138E-3</c:v>
                </c:pt>
                <c:pt idx="16">
                  <c:v>1.4999999999999994E-3</c:v>
                </c:pt>
                <c:pt idx="17">
                  <c:v>1.3333333333333324E-3</c:v>
                </c:pt>
                <c:pt idx="18">
                  <c:v>1.1999999999999997E-3</c:v>
                </c:pt>
                <c:pt idx="19">
                  <c:v>5.9999999999999973E-4</c:v>
                </c:pt>
                <c:pt idx="20">
                  <c:v>3.9999999999999969E-4</c:v>
                </c:pt>
                <c:pt idx="21">
                  <c:v>3.0000000000000008E-4</c:v>
                </c:pt>
                <c:pt idx="22">
                  <c:v>2.3999999999999987E-4</c:v>
                </c:pt>
                <c:pt idx="23">
                  <c:v>1.9999999999999985E-4</c:v>
                </c:pt>
                <c:pt idx="24">
                  <c:v>1.7142857142857121E-4</c:v>
                </c:pt>
                <c:pt idx="25">
                  <c:v>1.5000000000000004E-4</c:v>
                </c:pt>
                <c:pt idx="26">
                  <c:v>1.3333333333333331E-4</c:v>
                </c:pt>
                <c:pt idx="27">
                  <c:v>1.1999999999999994E-4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Feuil3!$B$20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Feuil3!$C$20:$AD$20</c:f>
              <c:numCache>
                <c:formatCode>0.0000</c:formatCode>
                <c:ptCount val="2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4.9999999999999982E-2</c:v>
                </c:pt>
                <c:pt idx="6">
                  <c:v>4.285714285714283E-2</c:v>
                </c:pt>
                <c:pt idx="7">
                  <c:v>3.7499999999999992E-2</c:v>
                </c:pt>
                <c:pt idx="8">
                  <c:v>3.3333333333333319E-2</c:v>
                </c:pt>
                <c:pt idx="9">
                  <c:v>2.9999999999999985E-2</c:v>
                </c:pt>
                <c:pt idx="10">
                  <c:v>1.4999999999999982E-2</c:v>
                </c:pt>
                <c:pt idx="11">
                  <c:v>0.01</c:v>
                </c:pt>
                <c:pt idx="12">
                  <c:v>7.499999999999998E-3</c:v>
                </c:pt>
                <c:pt idx="13">
                  <c:v>5.9999999999999932E-3</c:v>
                </c:pt>
                <c:pt idx="14">
                  <c:v>4.9999999999999975E-3</c:v>
                </c:pt>
                <c:pt idx="15">
                  <c:v>4.2857142857142842E-3</c:v>
                </c:pt>
                <c:pt idx="16">
                  <c:v>3.749999999999999E-3</c:v>
                </c:pt>
                <c:pt idx="17">
                  <c:v>3.3333333333333309E-3</c:v>
                </c:pt>
                <c:pt idx="18">
                  <c:v>2.9999999999999992E-3</c:v>
                </c:pt>
                <c:pt idx="19">
                  <c:v>1.4999999999999994E-3</c:v>
                </c:pt>
                <c:pt idx="20">
                  <c:v>1E-3</c:v>
                </c:pt>
                <c:pt idx="21">
                  <c:v>7.4999999999999969E-4</c:v>
                </c:pt>
                <c:pt idx="22">
                  <c:v>5.9999999999999973E-4</c:v>
                </c:pt>
                <c:pt idx="23">
                  <c:v>4.9999999999999958E-4</c:v>
                </c:pt>
                <c:pt idx="24">
                  <c:v>4.2857142857142795E-4</c:v>
                </c:pt>
                <c:pt idx="25">
                  <c:v>3.7499999999999979E-4</c:v>
                </c:pt>
                <c:pt idx="26">
                  <c:v>3.3333333333333305E-4</c:v>
                </c:pt>
                <c:pt idx="27">
                  <c:v>2.9999999999999959E-4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Feuil3!$B$21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Feuil3!$C$21:$AD$21</c:f>
              <c:numCache>
                <c:formatCode>0.0000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8.5714285714285673E-2</c:v>
                </c:pt>
                <c:pt idx="7">
                  <c:v>7.4999999999999997E-2</c:v>
                </c:pt>
                <c:pt idx="8">
                  <c:v>6.6666666666666638E-2</c:v>
                </c:pt>
                <c:pt idx="9">
                  <c:v>5.999999999999997E-2</c:v>
                </c:pt>
                <c:pt idx="10">
                  <c:v>2.9999999999999985E-2</c:v>
                </c:pt>
                <c:pt idx="11">
                  <c:v>1.9999999999999993E-2</c:v>
                </c:pt>
                <c:pt idx="12">
                  <c:v>1.4999999999999996E-2</c:v>
                </c:pt>
                <c:pt idx="13">
                  <c:v>1.1999999999999988E-2</c:v>
                </c:pt>
                <c:pt idx="14">
                  <c:v>0.01</c:v>
                </c:pt>
                <c:pt idx="15">
                  <c:v>8.5714285714285701E-3</c:v>
                </c:pt>
                <c:pt idx="16">
                  <c:v>7.499999999999998E-3</c:v>
                </c:pt>
                <c:pt idx="17">
                  <c:v>6.6666666666666628E-3</c:v>
                </c:pt>
                <c:pt idx="18">
                  <c:v>5.9999999999999984E-3</c:v>
                </c:pt>
                <c:pt idx="19">
                  <c:v>2.9999999999999992E-3</c:v>
                </c:pt>
                <c:pt idx="20">
                  <c:v>1.9999999999999987E-3</c:v>
                </c:pt>
                <c:pt idx="21">
                  <c:v>1.4999999999999994E-3</c:v>
                </c:pt>
                <c:pt idx="22">
                  <c:v>1.1999999999999997E-3</c:v>
                </c:pt>
                <c:pt idx="23">
                  <c:v>1E-3</c:v>
                </c:pt>
                <c:pt idx="24">
                  <c:v>8.5714285714285612E-4</c:v>
                </c:pt>
                <c:pt idx="25">
                  <c:v>7.4999999999999969E-4</c:v>
                </c:pt>
                <c:pt idx="26">
                  <c:v>6.666666666666661E-4</c:v>
                </c:pt>
                <c:pt idx="27">
                  <c:v>5.9999999999999919E-4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Feuil3!$B$22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Feuil3!$C$22:$AD$22</c:f>
              <c:numCache>
                <c:formatCode>0.0000</c:formatCode>
                <c:ptCount val="2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0.20000000000000004</c:v>
                </c:pt>
                <c:pt idx="6">
                  <c:v>0.17142857142857143</c:v>
                </c:pt>
                <c:pt idx="7">
                  <c:v>0.14999999999999997</c:v>
                </c:pt>
                <c:pt idx="8">
                  <c:v>0.13333333333333328</c:v>
                </c:pt>
                <c:pt idx="9">
                  <c:v>0.12000000000000002</c:v>
                </c:pt>
                <c:pt idx="10">
                  <c:v>5.999999999999997E-2</c:v>
                </c:pt>
                <c:pt idx="11">
                  <c:v>4.0000000000000008E-2</c:v>
                </c:pt>
                <c:pt idx="12">
                  <c:v>0.03</c:v>
                </c:pt>
                <c:pt idx="13">
                  <c:v>2.399999999999999E-2</c:v>
                </c:pt>
                <c:pt idx="14">
                  <c:v>1.9999999999999993E-2</c:v>
                </c:pt>
                <c:pt idx="15">
                  <c:v>1.7142857142857144E-2</c:v>
                </c:pt>
                <c:pt idx="16">
                  <c:v>1.4999999999999996E-2</c:v>
                </c:pt>
                <c:pt idx="17">
                  <c:v>1.3333333333333326E-2</c:v>
                </c:pt>
                <c:pt idx="18">
                  <c:v>1.1999999999999999E-2</c:v>
                </c:pt>
                <c:pt idx="19">
                  <c:v>5.9999999999999984E-3</c:v>
                </c:pt>
                <c:pt idx="20">
                  <c:v>3.9999999999999983E-3</c:v>
                </c:pt>
                <c:pt idx="21">
                  <c:v>2.9999999999999992E-3</c:v>
                </c:pt>
                <c:pt idx="22">
                  <c:v>2.4000000000000015E-3</c:v>
                </c:pt>
                <c:pt idx="23">
                  <c:v>1.9999999999999987E-3</c:v>
                </c:pt>
                <c:pt idx="24">
                  <c:v>1.7142857142857122E-3</c:v>
                </c:pt>
                <c:pt idx="25">
                  <c:v>1.4999999999999994E-3</c:v>
                </c:pt>
                <c:pt idx="26">
                  <c:v>1.3333333333333324E-3</c:v>
                </c:pt>
                <c:pt idx="27">
                  <c:v>1.1999999999999984E-3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Feuil3!$B$23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Feuil3!$C$23:$AD$23</c:f>
              <c:numCache>
                <c:formatCode>0.0000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0.42857142857142844</c:v>
                </c:pt>
                <c:pt idx="7">
                  <c:v>0.37499999999999989</c:v>
                </c:pt>
                <c:pt idx="8">
                  <c:v>0.33333333333333326</c:v>
                </c:pt>
                <c:pt idx="9">
                  <c:v>0.29999999999999993</c:v>
                </c:pt>
                <c:pt idx="10">
                  <c:v>0.14999999999999994</c:v>
                </c:pt>
                <c:pt idx="11">
                  <c:v>0.1</c:v>
                </c:pt>
                <c:pt idx="12">
                  <c:v>7.4999999999999997E-2</c:v>
                </c:pt>
                <c:pt idx="13">
                  <c:v>5.999999999999997E-2</c:v>
                </c:pt>
                <c:pt idx="14">
                  <c:v>4.9999999999999982E-2</c:v>
                </c:pt>
                <c:pt idx="15">
                  <c:v>4.285714285714283E-2</c:v>
                </c:pt>
                <c:pt idx="16">
                  <c:v>3.7499999999999992E-2</c:v>
                </c:pt>
                <c:pt idx="17">
                  <c:v>3.3333333333333319E-2</c:v>
                </c:pt>
                <c:pt idx="18">
                  <c:v>2.9999999999999985E-2</c:v>
                </c:pt>
                <c:pt idx="19">
                  <c:v>1.4999999999999982E-2</c:v>
                </c:pt>
                <c:pt idx="20">
                  <c:v>0.01</c:v>
                </c:pt>
                <c:pt idx="21">
                  <c:v>7.499999999999998E-3</c:v>
                </c:pt>
                <c:pt idx="22">
                  <c:v>5.9999999999999984E-3</c:v>
                </c:pt>
                <c:pt idx="23">
                  <c:v>4.9999999999999975E-3</c:v>
                </c:pt>
                <c:pt idx="24">
                  <c:v>4.2857142857142807E-3</c:v>
                </c:pt>
                <c:pt idx="25">
                  <c:v>3.749999999999999E-3</c:v>
                </c:pt>
                <c:pt idx="26">
                  <c:v>3.3333333333333309E-3</c:v>
                </c:pt>
                <c:pt idx="27">
                  <c:v>2.9999999999999962E-3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Feuil3!$B$24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Feuil3!$C$24:$AD$24</c:f>
              <c:numCache>
                <c:formatCode>0.0000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0.83333333333333337</c:v>
                </c:pt>
                <c:pt idx="6">
                  <c:v>0.71428571428571419</c:v>
                </c:pt>
                <c:pt idx="7">
                  <c:v>0.625</c:v>
                </c:pt>
                <c:pt idx="8">
                  <c:v>0.55555555555555558</c:v>
                </c:pt>
                <c:pt idx="9">
                  <c:v>0.5</c:v>
                </c:pt>
                <c:pt idx="10">
                  <c:v>0.14999999999999994</c:v>
                </c:pt>
                <c:pt idx="11">
                  <c:v>0.1</c:v>
                </c:pt>
                <c:pt idx="12">
                  <c:v>7.4999999999999997E-2</c:v>
                </c:pt>
                <c:pt idx="13">
                  <c:v>5.999999999999997E-2</c:v>
                </c:pt>
                <c:pt idx="14">
                  <c:v>4.9999999999999982E-2</c:v>
                </c:pt>
                <c:pt idx="15">
                  <c:v>4.285714285714283E-2</c:v>
                </c:pt>
                <c:pt idx="16">
                  <c:v>3.7499999999999992E-2</c:v>
                </c:pt>
                <c:pt idx="17">
                  <c:v>3.3333333333333319E-2</c:v>
                </c:pt>
                <c:pt idx="18">
                  <c:v>2.9999999999999985E-2</c:v>
                </c:pt>
                <c:pt idx="19">
                  <c:v>1.4999999999999982E-2</c:v>
                </c:pt>
                <c:pt idx="20">
                  <c:v>0.01</c:v>
                </c:pt>
                <c:pt idx="21">
                  <c:v>7.499999999999998E-3</c:v>
                </c:pt>
                <c:pt idx="22">
                  <c:v>5.9999999999999984E-3</c:v>
                </c:pt>
                <c:pt idx="23">
                  <c:v>4.9999999999999975E-3</c:v>
                </c:pt>
                <c:pt idx="24">
                  <c:v>4.2857142857142807E-3</c:v>
                </c:pt>
                <c:pt idx="25">
                  <c:v>3.749999999999999E-3</c:v>
                </c:pt>
                <c:pt idx="26">
                  <c:v>3.3333333333333309E-3</c:v>
                </c:pt>
                <c:pt idx="27">
                  <c:v>2.9999999999999962E-3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Feuil3!$B$25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Feuil3!$C$25:$AD$25</c:f>
              <c:numCache>
                <c:formatCode>0.0000</c:formatCod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0.83333333333333337</c:v>
                </c:pt>
                <c:pt idx="6">
                  <c:v>0.71428571428571419</c:v>
                </c:pt>
                <c:pt idx="7">
                  <c:v>0.625</c:v>
                </c:pt>
                <c:pt idx="8">
                  <c:v>0.55555555555555558</c:v>
                </c:pt>
                <c:pt idx="9">
                  <c:v>0.5</c:v>
                </c:pt>
                <c:pt idx="10">
                  <c:v>0.14999999999999994</c:v>
                </c:pt>
                <c:pt idx="11">
                  <c:v>0.1</c:v>
                </c:pt>
                <c:pt idx="12">
                  <c:v>7.4999999999999997E-2</c:v>
                </c:pt>
                <c:pt idx="13">
                  <c:v>5.999999999999997E-2</c:v>
                </c:pt>
                <c:pt idx="14">
                  <c:v>4.9999999999999982E-2</c:v>
                </c:pt>
                <c:pt idx="15">
                  <c:v>4.285714285714283E-2</c:v>
                </c:pt>
                <c:pt idx="16">
                  <c:v>3.7499999999999992E-2</c:v>
                </c:pt>
                <c:pt idx="17">
                  <c:v>3.3333333333333319E-2</c:v>
                </c:pt>
                <c:pt idx="18">
                  <c:v>2.9999999999999985E-2</c:v>
                </c:pt>
                <c:pt idx="19">
                  <c:v>1.4999999999999982E-2</c:v>
                </c:pt>
                <c:pt idx="20">
                  <c:v>0.01</c:v>
                </c:pt>
                <c:pt idx="21">
                  <c:v>7.499999999999998E-3</c:v>
                </c:pt>
                <c:pt idx="22">
                  <c:v>5.9999999999999984E-3</c:v>
                </c:pt>
                <c:pt idx="23">
                  <c:v>4.9999999999999975E-3</c:v>
                </c:pt>
                <c:pt idx="24">
                  <c:v>4.2857142857142807E-3</c:v>
                </c:pt>
                <c:pt idx="25">
                  <c:v>3.749999999999999E-3</c:v>
                </c:pt>
                <c:pt idx="26">
                  <c:v>3.3333333333333309E-3</c:v>
                </c:pt>
                <c:pt idx="27">
                  <c:v>2.9999999999999962E-3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Feuil3!$B$26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Feuil3!$C$26:$AD$26</c:f>
              <c:numCache>
                <c:formatCode>0.0000</c:formatCode>
                <c:ptCount val="2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0.83333333333333337</c:v>
                </c:pt>
                <c:pt idx="6">
                  <c:v>0.71428571428571419</c:v>
                </c:pt>
                <c:pt idx="7">
                  <c:v>0.625</c:v>
                </c:pt>
                <c:pt idx="8">
                  <c:v>0.55555555555555558</c:v>
                </c:pt>
                <c:pt idx="9">
                  <c:v>0.5</c:v>
                </c:pt>
                <c:pt idx="10">
                  <c:v>0.14999999999999994</c:v>
                </c:pt>
                <c:pt idx="11">
                  <c:v>0.1</c:v>
                </c:pt>
                <c:pt idx="12">
                  <c:v>7.4999999999999997E-2</c:v>
                </c:pt>
                <c:pt idx="13">
                  <c:v>5.999999999999997E-2</c:v>
                </c:pt>
                <c:pt idx="14">
                  <c:v>4.9999999999999982E-2</c:v>
                </c:pt>
                <c:pt idx="15">
                  <c:v>4.285714285714283E-2</c:v>
                </c:pt>
                <c:pt idx="16">
                  <c:v>3.7499999999999992E-2</c:v>
                </c:pt>
                <c:pt idx="17">
                  <c:v>3.3333333333333319E-2</c:v>
                </c:pt>
                <c:pt idx="18">
                  <c:v>2.9999999999999985E-2</c:v>
                </c:pt>
                <c:pt idx="19">
                  <c:v>1.4999999999999982E-2</c:v>
                </c:pt>
                <c:pt idx="20">
                  <c:v>0.01</c:v>
                </c:pt>
                <c:pt idx="21">
                  <c:v>7.499999999999998E-3</c:v>
                </c:pt>
                <c:pt idx="22">
                  <c:v>5.9999999999999984E-3</c:v>
                </c:pt>
                <c:pt idx="23">
                  <c:v>4.9999999999999975E-3</c:v>
                </c:pt>
                <c:pt idx="24">
                  <c:v>4.2857142857142807E-3</c:v>
                </c:pt>
                <c:pt idx="25">
                  <c:v>3.749999999999999E-3</c:v>
                </c:pt>
                <c:pt idx="26">
                  <c:v>3.3333333333333309E-3</c:v>
                </c:pt>
                <c:pt idx="27">
                  <c:v>2.9999999999999962E-3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Feuil3!$B$27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Feuil3!$C$17:$AD$17</c:f>
              <c:numCache>
                <c:formatCode>General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</c:numCache>
            </c:numRef>
          </c:xVal>
          <c:yVal>
            <c:numRef>
              <c:f>Feuil3!$C$27:$AD$27</c:f>
              <c:numCache>
                <c:formatCode>0.0000</c:formatCode>
                <c:ptCount val="28"/>
                <c:pt idx="0">
                  <c:v>10</c:v>
                </c:pt>
                <c:pt idx="1">
                  <c:v>10</c:v>
                </c:pt>
                <c:pt idx="2">
                  <c:v>6.6666666666666696</c:v>
                </c:pt>
                <c:pt idx="3">
                  <c:v>2.5</c:v>
                </c:pt>
                <c:pt idx="4">
                  <c:v>2</c:v>
                </c:pt>
                <c:pt idx="5">
                  <c:v>0.83333333333333337</c:v>
                </c:pt>
                <c:pt idx="6">
                  <c:v>0.71428571428571419</c:v>
                </c:pt>
                <c:pt idx="7">
                  <c:v>0.625</c:v>
                </c:pt>
                <c:pt idx="8">
                  <c:v>0.55555555555555558</c:v>
                </c:pt>
                <c:pt idx="9">
                  <c:v>0.5</c:v>
                </c:pt>
                <c:pt idx="10">
                  <c:v>0.14999999999999994</c:v>
                </c:pt>
                <c:pt idx="11">
                  <c:v>0.1</c:v>
                </c:pt>
                <c:pt idx="12">
                  <c:v>7.4999999999999997E-2</c:v>
                </c:pt>
                <c:pt idx="13">
                  <c:v>5.999999999999997E-2</c:v>
                </c:pt>
                <c:pt idx="14">
                  <c:v>4.9999999999999982E-2</c:v>
                </c:pt>
                <c:pt idx="15">
                  <c:v>4.285714285714283E-2</c:v>
                </c:pt>
                <c:pt idx="16">
                  <c:v>3.7499999999999992E-2</c:v>
                </c:pt>
                <c:pt idx="17">
                  <c:v>3.3333333333333319E-2</c:v>
                </c:pt>
                <c:pt idx="18">
                  <c:v>2.9999999999999985E-2</c:v>
                </c:pt>
                <c:pt idx="19">
                  <c:v>1.4999999999999982E-2</c:v>
                </c:pt>
                <c:pt idx="20">
                  <c:v>0.01</c:v>
                </c:pt>
                <c:pt idx="21">
                  <c:v>7.499999999999998E-3</c:v>
                </c:pt>
                <c:pt idx="22">
                  <c:v>5.9999999999999984E-3</c:v>
                </c:pt>
                <c:pt idx="23">
                  <c:v>4.9999999999999975E-3</c:v>
                </c:pt>
                <c:pt idx="24">
                  <c:v>4.2857142857142807E-3</c:v>
                </c:pt>
                <c:pt idx="25">
                  <c:v>3.749999999999999E-3</c:v>
                </c:pt>
                <c:pt idx="26">
                  <c:v>3.3333333333333309E-3</c:v>
                </c:pt>
                <c:pt idx="27">
                  <c:v>2.9999999999999962E-3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119904"/>
        <c:axId val="270120296"/>
      </c:scatterChart>
      <c:valAx>
        <c:axId val="270119904"/>
        <c:scaling>
          <c:logBase val="10"/>
          <c:orientation val="minMax"/>
          <c:min val="0.1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70120296"/>
        <c:crossesAt val="1.0000000000000015E-3"/>
        <c:crossBetween val="midCat"/>
        <c:majorUnit val="10"/>
      </c:valAx>
      <c:valAx>
        <c:axId val="270120296"/>
        <c:scaling>
          <c:logBase val="10"/>
          <c:orientation val="minMax"/>
          <c:min val="1.0000000000000015E-3"/>
        </c:scaling>
        <c:delete val="0"/>
        <c:axPos val="l"/>
        <c:majorGridlines/>
        <c:minorGridlines/>
        <c:numFmt formatCode="0.0000" sourceLinked="1"/>
        <c:majorTickMark val="out"/>
        <c:minorTickMark val="none"/>
        <c:tickLblPos val="nextTo"/>
        <c:crossAx val="270119904"/>
        <c:crossesAt val="0.1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36</xdr:row>
      <xdr:rowOff>47625</xdr:rowOff>
    </xdr:from>
    <xdr:to>
      <xdr:col>17</xdr:col>
      <xdr:colOff>342900</xdr:colOff>
      <xdr:row>64</xdr:row>
      <xdr:rowOff>0</xdr:rowOff>
    </xdr:to>
    <xdr:grpSp>
      <xdr:nvGrpSpPr>
        <xdr:cNvPr id="231550" name="Groupe 35"/>
        <xdr:cNvGrpSpPr>
          <a:grpSpLocks/>
        </xdr:cNvGrpSpPr>
      </xdr:nvGrpSpPr>
      <xdr:grpSpPr bwMode="auto">
        <a:xfrm>
          <a:off x="10672397" y="5499641"/>
          <a:ext cx="3012673" cy="3801756"/>
          <a:chOff x="10494065" y="6094126"/>
          <a:chExt cx="2807316" cy="4038805"/>
        </a:xfrm>
      </xdr:grpSpPr>
      <xdr:pic>
        <xdr:nvPicPr>
          <xdr:cNvPr id="19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0580003" y="6094126"/>
            <a:ext cx="2721378" cy="3892824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cxnSp macro="">
        <xdr:nvCxnSpPr>
          <xdr:cNvPr id="28" name="Connecteur droit avec flèche 27"/>
          <xdr:cNvCxnSpPr/>
        </xdr:nvCxnSpPr>
        <xdr:spPr>
          <a:xfrm>
            <a:off x="10646844" y="7845897"/>
            <a:ext cx="1241330" cy="0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Connecteur droit avec flèche 29"/>
          <xdr:cNvCxnSpPr/>
        </xdr:nvCxnSpPr>
        <xdr:spPr>
          <a:xfrm rot="5400000">
            <a:off x="10930025" y="8775583"/>
            <a:ext cx="1868556" cy="28646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Rectangle avec flèche vers la droite 30"/>
          <xdr:cNvSpPr/>
        </xdr:nvSpPr>
        <xdr:spPr>
          <a:xfrm>
            <a:off x="10494065" y="7690184"/>
            <a:ext cx="525178" cy="301694"/>
          </a:xfrm>
          <a:prstGeom prst="rightArrowCallou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800">
                <a:solidFill>
                  <a:schemeClr val="tx1"/>
                </a:solidFill>
              </a:rPr>
              <a:t>0,2</a:t>
            </a:r>
          </a:p>
        </xdr:txBody>
      </xdr:sp>
      <xdr:sp macro="" textlink="">
        <xdr:nvSpPr>
          <xdr:cNvPr id="32" name="Rectangle 31"/>
          <xdr:cNvSpPr/>
        </xdr:nvSpPr>
        <xdr:spPr>
          <a:xfrm>
            <a:off x="11620811" y="9821505"/>
            <a:ext cx="525178" cy="311426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800">
                <a:solidFill>
                  <a:schemeClr val="tx1"/>
                </a:solidFill>
              </a:rPr>
              <a:t>1,5</a:t>
            </a:r>
          </a:p>
        </xdr:txBody>
      </xdr:sp>
    </xdr:grpSp>
    <xdr:clientData/>
  </xdr:twoCellAnchor>
  <xdr:twoCellAnchor>
    <xdr:from>
      <xdr:col>4</xdr:col>
      <xdr:colOff>430696</xdr:colOff>
      <xdr:row>8</xdr:row>
      <xdr:rowOff>9111</xdr:rowOff>
    </xdr:from>
    <xdr:to>
      <xdr:col>8</xdr:col>
      <xdr:colOff>59221</xdr:colOff>
      <xdr:row>18</xdr:row>
      <xdr:rowOff>64191</xdr:rowOff>
    </xdr:to>
    <xdr:sp macro="" textlink="">
      <xdr:nvSpPr>
        <xdr:cNvPr id="3" name="Rectangle avec flèche vers la droite 2"/>
        <xdr:cNvSpPr/>
      </xdr:nvSpPr>
      <xdr:spPr>
        <a:xfrm>
          <a:off x="2907196" y="1361661"/>
          <a:ext cx="2676525" cy="1483830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 u="sng"/>
            <a:t>PARAMETRES</a:t>
          </a:r>
          <a:r>
            <a:rPr lang="fr-FR" sz="1200" b="1" u="sng" baseline="0"/>
            <a:t> A DEFINIR</a:t>
          </a:r>
        </a:p>
        <a:p>
          <a:pPr algn="ctr"/>
          <a:endParaRPr lang="fr-FR" sz="1100" baseline="0"/>
        </a:p>
        <a:p>
          <a:pPr algn="ctr"/>
          <a:r>
            <a:rPr lang="fr-FR" sz="1100"/>
            <a:t>PRODUIT EN CAUSE</a:t>
          </a:r>
        </a:p>
        <a:p>
          <a:pPr algn="ctr"/>
          <a:r>
            <a:rPr lang="fr-FR" sz="1100"/>
            <a:t>+</a:t>
          </a:r>
        </a:p>
        <a:p>
          <a:pPr algn="ctr"/>
          <a:r>
            <a:rPr lang="fr-FR" sz="1100" baseline="0"/>
            <a:t>TYPE ET ORIGINE DE LA FUITE</a:t>
          </a:r>
        </a:p>
        <a:p>
          <a:pPr algn="ctr"/>
          <a:r>
            <a:rPr lang="fr-FR" sz="1100" baseline="0"/>
            <a:t>+</a:t>
          </a:r>
        </a:p>
        <a:p>
          <a:pPr algn="ctr"/>
          <a:r>
            <a:rPr lang="fr-FR" sz="1100" baseline="0"/>
            <a:t>DEBIT  DE FUITE</a:t>
          </a:r>
        </a:p>
      </xdr:txBody>
    </xdr:sp>
    <xdr:clientData/>
  </xdr:twoCellAnchor>
  <xdr:twoCellAnchor>
    <xdr:from>
      <xdr:col>4</xdr:col>
      <xdr:colOff>426969</xdr:colOff>
      <xdr:row>20</xdr:row>
      <xdr:rowOff>26918</xdr:rowOff>
    </xdr:from>
    <xdr:to>
      <xdr:col>8</xdr:col>
      <xdr:colOff>55494</xdr:colOff>
      <xdr:row>30</xdr:row>
      <xdr:rowOff>101048</xdr:rowOff>
    </xdr:to>
    <xdr:sp macro="" textlink="">
      <xdr:nvSpPr>
        <xdr:cNvPr id="5" name="Rectangle avec flèche vers la droite 4"/>
        <xdr:cNvSpPr/>
      </xdr:nvSpPr>
      <xdr:spPr>
        <a:xfrm>
          <a:off x="2903469" y="3093968"/>
          <a:ext cx="2676525" cy="1502880"/>
        </a:xfrm>
        <a:prstGeom prst="rightArrowCallout">
          <a:avLst>
            <a:gd name="adj1" fmla="val 25000"/>
            <a:gd name="adj2" fmla="val 23324"/>
            <a:gd name="adj3" fmla="val 25000"/>
            <a:gd name="adj4" fmla="val 6497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200" b="1" u="sng"/>
            <a:t>PARAMETRES</a:t>
          </a:r>
          <a:r>
            <a:rPr lang="fr-FR" sz="1200" b="1" u="sng" baseline="0"/>
            <a:t> A DEFINIR</a:t>
          </a:r>
        </a:p>
        <a:p>
          <a:pPr algn="ctr"/>
          <a:endParaRPr lang="fr-FR" sz="1200" baseline="0"/>
        </a:p>
        <a:p>
          <a:pPr algn="ctr"/>
          <a:r>
            <a:rPr lang="fr-FR" sz="1200"/>
            <a:t>CONDITIONS</a:t>
          </a:r>
          <a:r>
            <a:rPr lang="fr-FR" sz="1200" baseline="0"/>
            <a:t> METEO</a:t>
          </a:r>
        </a:p>
      </xdr:txBody>
    </xdr:sp>
    <xdr:clientData/>
  </xdr:twoCellAnchor>
  <xdr:twoCellAnchor>
    <xdr:from>
      <xdr:col>1</xdr:col>
      <xdr:colOff>1</xdr:colOff>
      <xdr:row>51</xdr:row>
      <xdr:rowOff>125186</xdr:rowOff>
    </xdr:from>
    <xdr:to>
      <xdr:col>3</xdr:col>
      <xdr:colOff>628651</xdr:colOff>
      <xdr:row>62</xdr:row>
      <xdr:rowOff>39461</xdr:rowOff>
    </xdr:to>
    <xdr:sp macro="" textlink="">
      <xdr:nvSpPr>
        <xdr:cNvPr id="8" name="Rectangle avec flèche vers la droite 7"/>
        <xdr:cNvSpPr/>
      </xdr:nvSpPr>
      <xdr:spPr>
        <a:xfrm>
          <a:off x="1" y="7411811"/>
          <a:ext cx="2152650" cy="1485900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00" b="1" u="sng"/>
            <a:t>CALCULER</a:t>
          </a:r>
        </a:p>
        <a:p>
          <a:pPr algn="ctr"/>
          <a:endParaRPr lang="fr-FR" sz="1000"/>
        </a:p>
        <a:p>
          <a:pPr algn="ctr"/>
          <a:endParaRPr lang="fr-FR" sz="1000"/>
        </a:p>
        <a:p>
          <a:pPr algn="ctr"/>
          <a:r>
            <a:rPr lang="fr-FR" sz="1000"/>
            <a:t>VOLUME INFLAMMABLE DANS CONDITIONS</a:t>
          </a:r>
          <a:r>
            <a:rPr lang="fr-FR" sz="1000" baseline="0"/>
            <a:t> STOECHIOMETRIQUES</a:t>
          </a:r>
          <a:endParaRPr lang="fr-FR" sz="1000" baseline="0">
            <a:solidFill>
              <a:schemeClr val="tx1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aseline="0">
              <a:solidFill>
                <a:schemeClr val="tx1"/>
              </a:solidFill>
              <a:latin typeface="+mn-lt"/>
              <a:ea typeface="+mn-ea"/>
              <a:cs typeface="+mn-cs"/>
            </a:rPr>
            <a:t>V</a:t>
          </a:r>
          <a:r>
            <a:rPr lang="fr-FR" sz="1000" baseline="-25000">
              <a:solidFill>
                <a:schemeClr val="tx1"/>
              </a:solidFill>
              <a:latin typeface="+mn-lt"/>
              <a:ea typeface="+mn-ea"/>
              <a:cs typeface="+mn-cs"/>
            </a:rPr>
            <a:t>inf   </a:t>
          </a:r>
          <a:r>
            <a:rPr lang="fr-FR" sz="1000" baseline="0">
              <a:solidFill>
                <a:schemeClr val="tx1"/>
              </a:solidFill>
              <a:latin typeface="+mn-lt"/>
              <a:ea typeface="+mn-ea"/>
              <a:cs typeface="+mn-cs"/>
            </a:rPr>
            <a:t>=  M</a:t>
          </a:r>
          <a:r>
            <a:rPr lang="fr-FR" sz="1000" baseline="-25000">
              <a:solidFill>
                <a:schemeClr val="tx1"/>
              </a:solidFill>
              <a:latin typeface="+mn-lt"/>
              <a:ea typeface="+mn-ea"/>
              <a:cs typeface="+mn-cs"/>
            </a:rPr>
            <a:t>inf  </a:t>
          </a:r>
          <a:r>
            <a:rPr lang="fr-FR" sz="1000" baseline="0">
              <a:solidFill>
                <a:schemeClr val="tx1"/>
              </a:solidFill>
              <a:latin typeface="+mn-lt"/>
              <a:ea typeface="+mn-ea"/>
              <a:cs typeface="+mn-cs"/>
            </a:rPr>
            <a:t>/ (</a:t>
          </a:r>
          <a:r>
            <a:rPr lang="fr-FR" sz="1000" baseline="0">
              <a:solidFill>
                <a:schemeClr val="tx1"/>
              </a:solidFill>
              <a:sym typeface="Symbol"/>
            </a:rPr>
            <a:t></a:t>
          </a:r>
          <a:r>
            <a:rPr lang="fr-FR" sz="1000" baseline="-25000">
              <a:solidFill>
                <a:schemeClr val="tx1"/>
              </a:solidFill>
              <a:sym typeface="Symbol"/>
            </a:rPr>
            <a:t>gaz </a:t>
          </a:r>
          <a:r>
            <a:rPr lang="fr-FR" sz="1000" baseline="0">
              <a:solidFill>
                <a:schemeClr val="tx1"/>
              </a:solidFill>
              <a:sym typeface="Symbol"/>
            </a:rPr>
            <a:t>x C)</a:t>
          </a:r>
          <a:endParaRPr lang="fr-FR" sz="10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</xdr:row>
      <xdr:rowOff>133349</xdr:rowOff>
    </xdr:from>
    <xdr:to>
      <xdr:col>17</xdr:col>
      <xdr:colOff>742950</xdr:colOff>
      <xdr:row>76</xdr:row>
      <xdr:rowOff>121226</xdr:rowOff>
    </xdr:to>
    <xdr:sp macro="" textlink="">
      <xdr:nvSpPr>
        <xdr:cNvPr id="9" name="Rectangle 8"/>
        <xdr:cNvSpPr/>
      </xdr:nvSpPr>
      <xdr:spPr>
        <a:xfrm>
          <a:off x="0" y="4911724"/>
          <a:ext cx="13125450" cy="6274377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fr-FR" sz="1800" b="1">
              <a:solidFill>
                <a:schemeClr val="bg1"/>
              </a:solidFill>
            </a:rPr>
            <a:t>EXPLOSION DU NUAGE</a:t>
          </a:r>
        </a:p>
      </xdr:txBody>
    </xdr:sp>
    <xdr:clientData/>
  </xdr:twoCellAnchor>
  <xdr:twoCellAnchor>
    <xdr:from>
      <xdr:col>1</xdr:col>
      <xdr:colOff>19051</xdr:colOff>
      <xdr:row>37</xdr:row>
      <xdr:rowOff>28575</xdr:rowOff>
    </xdr:from>
    <xdr:to>
      <xdr:col>5</xdr:col>
      <xdr:colOff>571501</xdr:colOff>
      <xdr:row>51</xdr:row>
      <xdr:rowOff>10887</xdr:rowOff>
    </xdr:to>
    <xdr:sp macro="" textlink="">
      <xdr:nvSpPr>
        <xdr:cNvPr id="11" name="Rectangle avec flèche vers la droite 10"/>
        <xdr:cNvSpPr/>
      </xdr:nvSpPr>
      <xdr:spPr>
        <a:xfrm>
          <a:off x="209551" y="5524500"/>
          <a:ext cx="3600450" cy="1982562"/>
        </a:xfrm>
        <a:prstGeom prst="rightArrowCallout">
          <a:avLst>
            <a:gd name="adj1" fmla="val 25000"/>
            <a:gd name="adj2" fmla="val 25000"/>
            <a:gd name="adj3" fmla="val 25000"/>
            <a:gd name="adj4" fmla="val 3824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00" b="1" u="sng"/>
            <a:t>PROPRIETES</a:t>
          </a:r>
          <a:r>
            <a:rPr lang="fr-FR" sz="1000" b="1" u="sng" baseline="0"/>
            <a:t> DE COMBUSTION DU PRODUIT</a:t>
          </a:r>
        </a:p>
        <a:p>
          <a:pPr algn="ctr"/>
          <a:endParaRPr lang="fr-FR" sz="1000" baseline="0"/>
        </a:p>
        <a:p>
          <a:pPr algn="ctr"/>
          <a:r>
            <a:rPr lang="fr-FR" sz="1000" baseline="0"/>
            <a:t>ENERGIE COMBUSTION (Hcomb) </a:t>
          </a:r>
        </a:p>
        <a:p>
          <a:pPr algn="ctr"/>
          <a:r>
            <a:rPr lang="fr-FR" sz="1000" baseline="0"/>
            <a:t>+</a:t>
          </a:r>
        </a:p>
        <a:p>
          <a:pPr algn="ctr"/>
          <a:r>
            <a:rPr lang="fr-FR" sz="1000" baseline="0"/>
            <a:t>LII    LSI</a:t>
          </a:r>
        </a:p>
        <a:p>
          <a:pPr algn="ctr"/>
          <a:r>
            <a:rPr lang="fr-FR" sz="1000" baseline="0"/>
            <a:t>+</a:t>
          </a:r>
        </a:p>
        <a:p>
          <a:pPr algn="ctr"/>
          <a:r>
            <a:rPr lang="fr-FR" sz="1000" baseline="0"/>
            <a:t>CONCENTRATION STOECHIOMETRIQUE</a:t>
          </a:r>
        </a:p>
      </xdr:txBody>
    </xdr:sp>
    <xdr:clientData/>
  </xdr:twoCellAnchor>
  <xdr:twoCellAnchor>
    <xdr:from>
      <xdr:col>1</xdr:col>
      <xdr:colOff>0</xdr:colOff>
      <xdr:row>63</xdr:row>
      <xdr:rowOff>40822</xdr:rowOff>
    </xdr:from>
    <xdr:to>
      <xdr:col>3</xdr:col>
      <xdr:colOff>563336</xdr:colOff>
      <xdr:row>73</xdr:row>
      <xdr:rowOff>136072</xdr:rowOff>
    </xdr:to>
    <xdr:sp macro="" textlink="">
      <xdr:nvSpPr>
        <xdr:cNvPr id="13" name="Rectangle avec flèche vers la droite 12"/>
        <xdr:cNvSpPr/>
      </xdr:nvSpPr>
      <xdr:spPr>
        <a:xfrm>
          <a:off x="0" y="9218440"/>
          <a:ext cx="2087336" cy="1552014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00" b="1" u="sng"/>
            <a:t>DETERMINER LES ZONES ENCOMBREES</a:t>
          </a:r>
        </a:p>
        <a:p>
          <a:pPr algn="ctr"/>
          <a:endParaRPr lang="fr-FR" sz="1000"/>
        </a:p>
      </xdr:txBody>
    </xdr:sp>
    <xdr:clientData/>
  </xdr:twoCellAnchor>
  <xdr:twoCellAnchor>
    <xdr:from>
      <xdr:col>11</xdr:col>
      <xdr:colOff>297997</xdr:colOff>
      <xdr:row>41</xdr:row>
      <xdr:rowOff>9525</xdr:rowOff>
    </xdr:from>
    <xdr:to>
      <xdr:col>14</xdr:col>
      <xdr:colOff>31297</xdr:colOff>
      <xdr:row>75</xdr:row>
      <xdr:rowOff>36739</xdr:rowOff>
    </xdr:to>
    <xdr:sp macro="" textlink="">
      <xdr:nvSpPr>
        <xdr:cNvPr id="17" name="Rectangle avec flèche vers la droite 16"/>
        <xdr:cNvSpPr/>
      </xdr:nvSpPr>
      <xdr:spPr>
        <a:xfrm>
          <a:off x="7917997" y="5867400"/>
          <a:ext cx="2019300" cy="4884964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50" b="1" u="sng"/>
            <a:t>CALCULER LES EFFETS DE PRESSION</a:t>
          </a:r>
        </a:p>
        <a:p>
          <a:pPr algn="ctr"/>
          <a:endParaRPr lang="fr-FR" sz="1050"/>
        </a:p>
        <a:p>
          <a:pPr algn="ctr"/>
          <a:r>
            <a:rPr lang="fr-FR" sz="1050"/>
            <a:t>LECTURE</a:t>
          </a:r>
          <a:r>
            <a:rPr lang="fr-FR" sz="1050" baseline="0"/>
            <a:t> SUR ABAQUE</a:t>
          </a:r>
        </a:p>
        <a:p>
          <a:pPr algn="ctr"/>
          <a:endParaRPr lang="fr-FR" sz="1050" baseline="0"/>
        </a:p>
        <a:p>
          <a:pPr algn="ctr"/>
          <a:r>
            <a:rPr lang="fr-FR" sz="1050" baseline="0"/>
            <a:t>r' = R / (E/p</a:t>
          </a:r>
          <a:r>
            <a:rPr lang="fr-FR" sz="1050" baseline="-25000"/>
            <a:t>atm</a:t>
          </a:r>
          <a:r>
            <a:rPr lang="fr-FR" sz="1050" baseline="0"/>
            <a:t>)</a:t>
          </a:r>
          <a:r>
            <a:rPr lang="fr-FR" sz="1050" baseline="30000"/>
            <a:t>1/3</a:t>
          </a:r>
        </a:p>
        <a:p>
          <a:pPr algn="ctr"/>
          <a:endParaRPr lang="fr-FR" sz="1050" baseline="0"/>
        </a:p>
        <a:p>
          <a:pPr algn="ctr"/>
          <a:r>
            <a:rPr lang="fr-FR" sz="1050" i="1" baseline="0"/>
            <a:t>r'= distance réduite</a:t>
          </a:r>
        </a:p>
        <a:p>
          <a:pPr algn="ctr"/>
          <a:r>
            <a:rPr lang="fr-FR" sz="1050" i="1" baseline="0"/>
            <a:t>R= distance à la source de l'explosion</a:t>
          </a:r>
          <a:endParaRPr lang="fr-FR" sz="1050" i="1"/>
        </a:p>
      </xdr:txBody>
    </xdr:sp>
    <xdr:clientData/>
  </xdr:twoCellAnchor>
  <xdr:twoCellAnchor>
    <xdr:from>
      <xdr:col>8</xdr:col>
      <xdr:colOff>630012</xdr:colOff>
      <xdr:row>64</xdr:row>
      <xdr:rowOff>91168</xdr:rowOff>
    </xdr:from>
    <xdr:to>
      <xdr:col>11</xdr:col>
      <xdr:colOff>363312</xdr:colOff>
      <xdr:row>75</xdr:row>
      <xdr:rowOff>74839</xdr:rowOff>
    </xdr:to>
    <xdr:sp macro="" textlink="">
      <xdr:nvSpPr>
        <xdr:cNvPr id="18" name="Rectangle avec flèche vers la droite 17"/>
        <xdr:cNvSpPr/>
      </xdr:nvSpPr>
      <xdr:spPr>
        <a:xfrm>
          <a:off x="5964012" y="9235168"/>
          <a:ext cx="2019300" cy="1555296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50" b="1"/>
            <a:t>CHOISIR  LE CENTRE D'EXPLOSION DE LA</a:t>
          </a:r>
          <a:r>
            <a:rPr lang="fr-FR" sz="1050" b="1" baseline="0"/>
            <a:t> ZONE LIBRE</a:t>
          </a:r>
          <a:endParaRPr lang="fr-FR" sz="1050" b="1"/>
        </a:p>
      </xdr:txBody>
    </xdr:sp>
    <xdr:clientData/>
  </xdr:twoCellAnchor>
  <xdr:twoCellAnchor>
    <xdr:from>
      <xdr:col>11</xdr:col>
      <xdr:colOff>433595</xdr:colOff>
      <xdr:row>9</xdr:row>
      <xdr:rowOff>123825</xdr:rowOff>
    </xdr:from>
    <xdr:to>
      <xdr:col>14</xdr:col>
      <xdr:colOff>281609</xdr:colOff>
      <xdr:row>33</xdr:row>
      <xdr:rowOff>3361</xdr:rowOff>
    </xdr:to>
    <xdr:sp macro="" textlink="">
      <xdr:nvSpPr>
        <xdr:cNvPr id="7" name="Rectangle avec flèche vers le bas 6"/>
        <xdr:cNvSpPr/>
      </xdr:nvSpPr>
      <xdr:spPr>
        <a:xfrm>
          <a:off x="8244095" y="1619250"/>
          <a:ext cx="2134014" cy="3308536"/>
        </a:xfrm>
        <a:prstGeom prst="downArrowCallout">
          <a:avLst>
            <a:gd name="adj1" fmla="val 25000"/>
            <a:gd name="adj2" fmla="val 28713"/>
            <a:gd name="adj3" fmla="val 35831"/>
            <a:gd name="adj4" fmla="val 6957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600" b="1" u="sng"/>
            <a:t>RESULTATS</a:t>
          </a:r>
        </a:p>
        <a:p>
          <a:pPr algn="ctr"/>
          <a:endParaRPr lang="fr-FR" sz="1200"/>
        </a:p>
        <a:p>
          <a:pPr algn="ctr"/>
          <a:endParaRPr lang="fr-FR" sz="1200"/>
        </a:p>
        <a:p>
          <a:pPr algn="ctr"/>
          <a:r>
            <a:rPr lang="fr-FR" sz="1200"/>
            <a:t>MASSE  INFLAMMABLE</a:t>
          </a:r>
          <a:endParaRPr lang="fr-FR" sz="1200" baseline="0"/>
        </a:p>
        <a:p>
          <a:pPr algn="ctr"/>
          <a:r>
            <a:rPr lang="fr-FR" sz="1200" baseline="0"/>
            <a:t>(M</a:t>
          </a:r>
          <a:r>
            <a:rPr lang="fr-FR" sz="1200" baseline="-25000"/>
            <a:t>inf</a:t>
          </a:r>
          <a:r>
            <a:rPr lang="fr-FR" sz="1200" baseline="0"/>
            <a:t>)</a:t>
          </a:r>
        </a:p>
        <a:p>
          <a:pPr algn="ctr"/>
          <a:r>
            <a:rPr lang="fr-FR" sz="1200" baseline="0"/>
            <a:t>+</a:t>
          </a:r>
        </a:p>
        <a:p>
          <a:pPr algn="ctr"/>
          <a:r>
            <a:rPr lang="fr-FR" sz="1200" baseline="0"/>
            <a:t>DISTANCE ATTEINTE A LA LII PAR LE NUAGE</a:t>
          </a:r>
        </a:p>
        <a:p>
          <a:pPr algn="ctr"/>
          <a:r>
            <a:rPr lang="fr-FR" sz="1200" baseline="0"/>
            <a:t>+</a:t>
          </a:r>
        </a:p>
        <a:p>
          <a:pPr algn="ctr"/>
          <a:r>
            <a:rPr lang="fr-FR" sz="1200" baseline="0"/>
            <a:t>FORME DU NUAGE (HAUTEUR, LARGEUR)</a:t>
          </a:r>
        </a:p>
      </xdr:txBody>
    </xdr:sp>
    <xdr:clientData/>
  </xdr:twoCellAnchor>
  <xdr:twoCellAnchor>
    <xdr:from>
      <xdr:col>8</xdr:col>
      <xdr:colOff>616404</xdr:colOff>
      <xdr:row>52</xdr:row>
      <xdr:rowOff>122465</xdr:rowOff>
    </xdr:from>
    <xdr:to>
      <xdr:col>11</xdr:col>
      <xdr:colOff>349704</xdr:colOff>
      <xdr:row>63</xdr:row>
      <xdr:rowOff>96611</xdr:rowOff>
    </xdr:to>
    <xdr:sp macro="" textlink="">
      <xdr:nvSpPr>
        <xdr:cNvPr id="16" name="Rectangle avec flèche vers la droite 15"/>
        <xdr:cNvSpPr/>
      </xdr:nvSpPr>
      <xdr:spPr>
        <a:xfrm>
          <a:off x="5950404" y="7551965"/>
          <a:ext cx="2019300" cy="1545771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50" b="1"/>
            <a:t>CHOISIR INDICE DE VIOLENCE POUR CHAQUES ZONES</a:t>
          </a:r>
        </a:p>
      </xdr:txBody>
    </xdr:sp>
    <xdr:clientData/>
  </xdr:twoCellAnchor>
  <xdr:twoCellAnchor>
    <xdr:from>
      <xdr:col>6</xdr:col>
      <xdr:colOff>36740</xdr:colOff>
      <xdr:row>41</xdr:row>
      <xdr:rowOff>1</xdr:rowOff>
    </xdr:from>
    <xdr:to>
      <xdr:col>8</xdr:col>
      <xdr:colOff>714375</xdr:colOff>
      <xdr:row>73</xdr:row>
      <xdr:rowOff>133353</xdr:rowOff>
    </xdr:to>
    <xdr:sp macro="" textlink="">
      <xdr:nvSpPr>
        <xdr:cNvPr id="10" name="Rectangle avec flèche vers la droite 9"/>
        <xdr:cNvSpPr/>
      </xdr:nvSpPr>
      <xdr:spPr>
        <a:xfrm>
          <a:off x="3846740" y="5857876"/>
          <a:ext cx="2201635" cy="4705352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00" b="1" baseline="0"/>
            <a:t>DETERMINER L'ENERGIE D'EXPLOSION</a:t>
          </a:r>
        </a:p>
        <a:p>
          <a:pPr algn="ctr"/>
          <a:r>
            <a:rPr lang="fr-FR" sz="1000" b="1" baseline="0"/>
            <a:t>POUR CHAQUES ZONES ENCOMBREES</a:t>
          </a:r>
        </a:p>
        <a:p>
          <a:pPr algn="ctr"/>
          <a:endParaRPr lang="fr-FR" sz="1000" baseline="0"/>
        </a:p>
        <a:p>
          <a:pPr algn="ctr"/>
          <a:endParaRPr lang="fr-FR" sz="1000" baseline="0"/>
        </a:p>
        <a:p>
          <a:pPr algn="ctr"/>
          <a:r>
            <a:rPr lang="fr-FR" sz="1000" baseline="0"/>
            <a:t>E = Hcomb x (Vinf)ze</a:t>
          </a:r>
          <a:endParaRPr lang="fr-FR" sz="1000"/>
        </a:p>
      </xdr:txBody>
    </xdr:sp>
    <xdr:clientData/>
  </xdr:twoCellAnchor>
  <xdr:twoCellAnchor>
    <xdr:from>
      <xdr:col>3</xdr:col>
      <xdr:colOff>640898</xdr:colOff>
      <xdr:row>52</xdr:row>
      <xdr:rowOff>1</xdr:rowOff>
    </xdr:from>
    <xdr:to>
      <xdr:col>6</xdr:col>
      <xdr:colOff>352426</xdr:colOff>
      <xdr:row>74</xdr:row>
      <xdr:rowOff>8283</xdr:rowOff>
    </xdr:to>
    <xdr:sp macro="" textlink="">
      <xdr:nvSpPr>
        <xdr:cNvPr id="14" name="Rectangle avec flèche vers la droite 13"/>
        <xdr:cNvSpPr/>
      </xdr:nvSpPr>
      <xdr:spPr>
        <a:xfrm>
          <a:off x="2926898" y="7321827"/>
          <a:ext cx="1997528" cy="3105978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00" b="1" u="sng">
              <a:solidFill>
                <a:schemeClr val="tx1"/>
              </a:solidFill>
            </a:rPr>
            <a:t>DETERMINER LE</a:t>
          </a:r>
          <a:r>
            <a:rPr lang="fr-FR" sz="1000" b="1" u="sng" baseline="0">
              <a:solidFill>
                <a:schemeClr val="tx1"/>
              </a:solidFill>
            </a:rPr>
            <a:t> </a:t>
          </a:r>
          <a:r>
            <a:rPr lang="fr-FR" sz="1000" b="1" u="sng">
              <a:solidFill>
                <a:schemeClr val="tx1"/>
              </a:solidFill>
            </a:rPr>
            <a:t>VOLUME INFLAMMABLE</a:t>
          </a:r>
          <a:r>
            <a:rPr lang="fr-FR" sz="1000" b="1" u="sng" baseline="0">
              <a:solidFill>
                <a:schemeClr val="tx1"/>
              </a:solidFill>
            </a:rPr>
            <a:t> DANS CHAQUES </a:t>
          </a:r>
          <a:r>
            <a:rPr lang="fr-FR" sz="1000" b="1" u="sng">
              <a:solidFill>
                <a:schemeClr val="tx1"/>
              </a:solidFill>
            </a:rPr>
            <a:t>ZONES ENCOMBREES</a:t>
          </a:r>
        </a:p>
        <a:p>
          <a:pPr algn="ctr"/>
          <a:endParaRPr lang="fr-FR" sz="1000" b="1" u="sng">
            <a:solidFill>
              <a:schemeClr val="tx1"/>
            </a:solidFill>
          </a:endParaRPr>
        </a:p>
        <a:p>
          <a:pPr algn="ctr"/>
          <a:r>
            <a:rPr lang="fr-FR" sz="1000"/>
            <a:t>(Vinf)ze</a:t>
          </a:r>
        </a:p>
        <a:p>
          <a:pPr algn="ctr"/>
          <a:endParaRPr lang="fr-FR" sz="1000"/>
        </a:p>
        <a:p>
          <a:pPr algn="ctr"/>
          <a:endParaRPr lang="fr-FR" sz="1000"/>
        </a:p>
      </xdr:txBody>
    </xdr:sp>
    <xdr:clientData/>
  </xdr:twoCellAnchor>
  <xdr:twoCellAnchor>
    <xdr:from>
      <xdr:col>14</xdr:col>
      <xdr:colOff>590550</xdr:colOff>
      <xdr:row>34</xdr:row>
      <xdr:rowOff>9117</xdr:rowOff>
    </xdr:from>
    <xdr:to>
      <xdr:col>17</xdr:col>
      <xdr:colOff>553276</xdr:colOff>
      <xdr:row>42</xdr:row>
      <xdr:rowOff>78441</xdr:rowOff>
    </xdr:to>
    <xdr:sp macro="" textlink="">
      <xdr:nvSpPr>
        <xdr:cNvPr id="24" name="Rectangle avec flèche vers le bas 23"/>
        <xdr:cNvSpPr/>
      </xdr:nvSpPr>
      <xdr:spPr>
        <a:xfrm>
          <a:off x="10687050" y="5076417"/>
          <a:ext cx="2248726" cy="1212324"/>
        </a:xfrm>
        <a:prstGeom prst="downArrowCallou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fr-FR" sz="900" b="1"/>
            <a:t>Exemple:</a:t>
          </a:r>
        </a:p>
        <a:p>
          <a:pPr algn="l"/>
          <a:r>
            <a:rPr lang="fr-FR" sz="900" b="1"/>
            <a:t>Indice</a:t>
          </a:r>
          <a:r>
            <a:rPr lang="fr-FR" sz="900" b="1" baseline="0"/>
            <a:t> 6 /  </a:t>
          </a:r>
          <a:r>
            <a:rPr lang="fr-FR" sz="900" b="1" baseline="0">
              <a:sym typeface="Symbol"/>
            </a:rPr>
            <a:t>p</a:t>
          </a:r>
          <a:r>
            <a:rPr lang="fr-FR" sz="900" b="1" baseline="0"/>
            <a:t>=200mbar   /  E=6920Kj</a:t>
          </a:r>
        </a:p>
        <a:p>
          <a:pPr algn="l"/>
          <a:endParaRPr lang="fr-FR" sz="500" b="1" baseline="0"/>
        </a:p>
        <a:p>
          <a:pPr algn="l"/>
          <a:r>
            <a:rPr lang="fr-FR" sz="900" b="1" baseline="0"/>
            <a:t>Lecture courbe =&gt; r'=1,5</a:t>
          </a:r>
        </a:p>
        <a:p>
          <a:pPr algn="l"/>
          <a:r>
            <a:rPr lang="fr-FR" sz="900" b="1" baseline="0"/>
            <a:t>Calcul R =&gt; R = r' x</a:t>
          </a:r>
          <a:r>
            <a:rPr lang="fr-FR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( E/p</a:t>
          </a:r>
          <a:r>
            <a:rPr lang="fr-FR" sz="9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atm</a:t>
          </a:r>
          <a:r>
            <a:rPr lang="fr-FR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fr-FR" sz="9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1/3</a:t>
          </a:r>
          <a:r>
            <a:rPr lang="fr-FR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= 28m</a:t>
          </a:r>
          <a:endParaRPr lang="fr-FR" sz="900" b="1"/>
        </a:p>
      </xdr:txBody>
    </xdr:sp>
    <xdr:clientData/>
  </xdr:twoCellAnchor>
  <xdr:twoCellAnchor>
    <xdr:from>
      <xdr:col>0</xdr:col>
      <xdr:colOff>190499</xdr:colOff>
      <xdr:row>7</xdr:row>
      <xdr:rowOff>133350</xdr:rowOff>
    </xdr:from>
    <xdr:to>
      <xdr:col>4</xdr:col>
      <xdr:colOff>306017</xdr:colOff>
      <xdr:row>18</xdr:row>
      <xdr:rowOff>47625</xdr:rowOff>
    </xdr:to>
    <xdr:sp macro="" textlink="">
      <xdr:nvSpPr>
        <xdr:cNvPr id="2" name="Rectangle avec flèche vers la droite 1"/>
        <xdr:cNvSpPr/>
      </xdr:nvSpPr>
      <xdr:spPr>
        <a:xfrm>
          <a:off x="190499" y="1343025"/>
          <a:ext cx="2592018" cy="1485900"/>
        </a:xfrm>
        <a:prstGeom prst="rightArrowCallout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chemeClr val="bg1"/>
              </a:solidFill>
            </a:rPr>
            <a:t>DETERMINATION</a:t>
          </a:r>
          <a:r>
            <a:rPr lang="fr-FR" sz="1400" b="1" baseline="0">
              <a:solidFill>
                <a:schemeClr val="bg1"/>
              </a:solidFill>
            </a:rPr>
            <a:t> DU TERME SOURCE</a:t>
          </a:r>
          <a:endParaRPr lang="fr-F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4</xdr:col>
      <xdr:colOff>276225</xdr:colOff>
      <xdr:row>30</xdr:row>
      <xdr:rowOff>47625</xdr:rowOff>
    </xdr:to>
    <xdr:sp macro="" textlink="">
      <xdr:nvSpPr>
        <xdr:cNvPr id="4" name="Rectangle avec flèche vers la droite 3"/>
        <xdr:cNvSpPr/>
      </xdr:nvSpPr>
      <xdr:spPr>
        <a:xfrm>
          <a:off x="190500" y="3057525"/>
          <a:ext cx="2562225" cy="1485900"/>
        </a:xfrm>
        <a:prstGeom prst="rightArrowCallout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chemeClr val="bg1"/>
              </a:solidFill>
            </a:rPr>
            <a:t>CALCUL DE DISPERSION DU NAUGE DE GAZ</a:t>
          </a:r>
        </a:p>
      </xdr:txBody>
    </xdr:sp>
    <xdr:clientData/>
  </xdr:twoCellAnchor>
  <xdr:twoCellAnchor>
    <xdr:from>
      <xdr:col>0</xdr:col>
      <xdr:colOff>0</xdr:colOff>
      <xdr:row>0</xdr:row>
      <xdr:rowOff>24849</xdr:rowOff>
    </xdr:from>
    <xdr:to>
      <xdr:col>18</xdr:col>
      <xdr:colOff>0</xdr:colOff>
      <xdr:row>7</xdr:row>
      <xdr:rowOff>66675</xdr:rowOff>
    </xdr:to>
    <xdr:sp macro="" textlink="">
      <xdr:nvSpPr>
        <xdr:cNvPr id="33" name="Rectangle 32"/>
        <xdr:cNvSpPr/>
      </xdr:nvSpPr>
      <xdr:spPr>
        <a:xfrm>
          <a:off x="0" y="24849"/>
          <a:ext cx="13144500" cy="1251501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rgbClr val="FF0000"/>
              </a:solidFill>
            </a:rPr>
            <a:t>Contraintes d'application</a:t>
          </a:r>
        </a:p>
        <a:p>
          <a:pPr algn="ctr"/>
          <a:endParaRPr lang="fr-FR" sz="200" b="1">
            <a:solidFill>
              <a:srgbClr val="FF0000"/>
            </a:solidFill>
          </a:endParaRPr>
        </a:p>
        <a:p>
          <a:pPr algn="ctr"/>
          <a:r>
            <a:rPr lang="fr-FR" sz="1400" b="1">
              <a:solidFill>
                <a:srgbClr val="FF0000"/>
              </a:solidFill>
            </a:rPr>
            <a:t>La méthode Multi énergie est utilisée pour déterminer les surpressions d'un UVCE.</a:t>
          </a:r>
        </a:p>
        <a:p>
          <a:pPr algn="ctr"/>
          <a:r>
            <a:rPr lang="fr-FR" sz="1400" b="1">
              <a:solidFill>
                <a:srgbClr val="FF0000"/>
              </a:solidFill>
            </a:rPr>
            <a:t>La méthode Multi énergie est une simplification de la réalité.</a:t>
          </a:r>
        </a:p>
        <a:p>
          <a:pPr algn="ctr"/>
          <a:r>
            <a:rPr lang="fr-FR" sz="1400" b="1">
              <a:solidFill>
                <a:srgbClr val="FF0000"/>
              </a:solidFill>
            </a:rPr>
            <a:t>Les résultats ainsi obtenus ne sont que des ordres de grandeur, sur lesquels la marge d'erreur est diffcilement quantifiable.</a:t>
          </a:r>
        </a:p>
        <a:p>
          <a:pPr algn="ctr"/>
          <a:r>
            <a:rPr lang="fr-FR" sz="1400" b="1">
              <a:solidFill>
                <a:srgbClr val="FF0000"/>
              </a:solidFill>
            </a:rPr>
            <a:t>La modélisation des effets de souffle sur la base d'une déflagration est une approche suffisemment sécuritaire.</a:t>
          </a:r>
        </a:p>
      </xdr:txBody>
    </xdr:sp>
    <xdr:clientData/>
  </xdr:twoCellAnchor>
  <xdr:twoCellAnchor>
    <xdr:from>
      <xdr:col>8</xdr:col>
      <xdr:colOff>600076</xdr:colOff>
      <xdr:row>41</xdr:row>
      <xdr:rowOff>6804</xdr:rowOff>
    </xdr:from>
    <xdr:to>
      <xdr:col>11</xdr:col>
      <xdr:colOff>333376</xdr:colOff>
      <xdr:row>51</xdr:row>
      <xdr:rowOff>95250</xdr:rowOff>
    </xdr:to>
    <xdr:sp macro="" textlink="">
      <xdr:nvSpPr>
        <xdr:cNvPr id="15" name="Rectangle avec flèche vers la droite 14"/>
        <xdr:cNvSpPr/>
      </xdr:nvSpPr>
      <xdr:spPr>
        <a:xfrm>
          <a:off x="6696076" y="6074229"/>
          <a:ext cx="2019300" cy="1517196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50" b="1"/>
            <a:t>DETERMINER</a:t>
          </a:r>
          <a:r>
            <a:rPr lang="fr-FR" sz="1050" b="1" baseline="0"/>
            <a:t> LES CENTRES D'EXPLOSION POUR CHAQUES ZONES ENCOMBREES</a:t>
          </a:r>
          <a:endParaRPr lang="fr-FR" sz="1050" b="1"/>
        </a:p>
      </xdr:txBody>
    </xdr:sp>
    <xdr:clientData/>
  </xdr:twoCellAnchor>
  <xdr:twoCellAnchor>
    <xdr:from>
      <xdr:col>8</xdr:col>
      <xdr:colOff>76200</xdr:colOff>
      <xdr:row>7</xdr:row>
      <xdr:rowOff>142874</xdr:rowOff>
    </xdr:from>
    <xdr:to>
      <xdr:col>11</xdr:col>
      <xdr:colOff>466725</xdr:colOff>
      <xdr:row>30</xdr:row>
      <xdr:rowOff>142874</xdr:rowOff>
    </xdr:to>
    <xdr:sp macro="" textlink="">
      <xdr:nvSpPr>
        <xdr:cNvPr id="34" name="Rectangle avec flèche vers la droite 33"/>
        <xdr:cNvSpPr/>
      </xdr:nvSpPr>
      <xdr:spPr>
        <a:xfrm>
          <a:off x="5600700" y="1352549"/>
          <a:ext cx="2676525" cy="3286125"/>
        </a:xfrm>
        <a:prstGeom prst="right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 u="sng"/>
            <a:t>UTILISER</a:t>
          </a:r>
          <a:endParaRPr lang="fr-FR" sz="1400" b="1" u="sng" baseline="0"/>
        </a:p>
        <a:p>
          <a:pPr algn="ctr"/>
          <a:endParaRPr lang="fr-FR" sz="1200" baseline="0"/>
        </a:p>
        <a:p>
          <a:pPr algn="ctr"/>
          <a:r>
            <a:rPr lang="fr-FR" sz="1200"/>
            <a:t>UN LOGICIEL DE MODELISATION DE DISPERSION DU NUAGE EXPLOSIF</a:t>
          </a:r>
          <a:endParaRPr lang="fr-FR" sz="1200" baseline="0"/>
        </a:p>
      </xdr:txBody>
    </xdr:sp>
    <xdr:clientData/>
  </xdr:twoCellAnchor>
  <xdr:twoCellAnchor>
    <xdr:from>
      <xdr:col>13</xdr:col>
      <xdr:colOff>742950</xdr:colOff>
      <xdr:row>64</xdr:row>
      <xdr:rowOff>134471</xdr:rowOff>
    </xdr:from>
    <xdr:to>
      <xdr:col>17</xdr:col>
      <xdr:colOff>495300</xdr:colOff>
      <xdr:row>75</xdr:row>
      <xdr:rowOff>11206</xdr:rowOff>
    </xdr:to>
    <xdr:sp macro="" textlink="">
      <xdr:nvSpPr>
        <xdr:cNvPr id="35" name="Rectangle 34"/>
        <xdr:cNvSpPr/>
      </xdr:nvSpPr>
      <xdr:spPr>
        <a:xfrm>
          <a:off x="10648950" y="9659471"/>
          <a:ext cx="2800350" cy="1479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50" b="1" u="sng"/>
            <a:t>REALISER CARTOGRAPHIE DES ZONES D'EFFETS</a:t>
          </a:r>
          <a:r>
            <a:rPr lang="fr-FR" sz="1050" b="1" u="sng" baseline="0"/>
            <a:t> DE SURPRESSION</a:t>
          </a:r>
        </a:p>
        <a:p>
          <a:pPr algn="ctr"/>
          <a:endParaRPr lang="fr-FR" sz="1050" b="1" u="sng" baseline="0"/>
        </a:p>
        <a:p>
          <a:pPr algn="ctr"/>
          <a:r>
            <a:rPr lang="fr-FR" sz="1050" b="1" u="none" baseline="0"/>
            <a:t>SELS (200mbar)</a:t>
          </a:r>
        </a:p>
        <a:p>
          <a:pPr algn="ctr"/>
          <a:r>
            <a:rPr lang="fr-FR" sz="1050" b="1" u="none" baseline="0"/>
            <a:t>SEL (140 mbar)</a:t>
          </a:r>
        </a:p>
        <a:p>
          <a:pPr algn="ctr"/>
          <a:r>
            <a:rPr lang="fr-FR" sz="1050" b="1" u="none" baseline="0"/>
            <a:t>SEI (50 mbar)</a:t>
          </a:r>
        </a:p>
        <a:p>
          <a:pPr algn="ctr"/>
          <a:r>
            <a:rPr lang="fr-FR" sz="1050" b="1" u="none" baseline="0"/>
            <a:t>bris  de vitres (20 mbar)</a:t>
          </a:r>
          <a:endParaRPr lang="fr-FR" sz="1050" b="1" u="none"/>
        </a:p>
        <a:p>
          <a:pPr algn="ctr"/>
          <a:endParaRPr lang="fr-FR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18</xdr:row>
      <xdr:rowOff>38100</xdr:rowOff>
    </xdr:from>
    <xdr:to>
      <xdr:col>12</xdr:col>
      <xdr:colOff>200025</xdr:colOff>
      <xdr:row>22</xdr:row>
      <xdr:rowOff>133350</xdr:rowOff>
    </xdr:to>
    <xdr:grpSp>
      <xdr:nvGrpSpPr>
        <xdr:cNvPr id="225362" name="Groupe 2"/>
        <xdr:cNvGrpSpPr>
          <a:grpSpLocks/>
        </xdr:cNvGrpSpPr>
      </xdr:nvGrpSpPr>
      <xdr:grpSpPr bwMode="auto">
        <a:xfrm>
          <a:off x="4498975" y="3340100"/>
          <a:ext cx="1162050" cy="857250"/>
          <a:chOff x="1495425" y="4781550"/>
          <a:chExt cx="790575" cy="666750"/>
        </a:xfrm>
      </xdr:grpSpPr>
      <xdr:sp macro="" textlink="">
        <xdr:nvSpPr>
          <xdr:cNvPr id="4" name="Rectangle 3"/>
          <xdr:cNvSpPr/>
        </xdr:nvSpPr>
        <xdr:spPr>
          <a:xfrm>
            <a:off x="1495425" y="4781550"/>
            <a:ext cx="790575" cy="666750"/>
          </a:xfrm>
          <a:prstGeom prst="rect">
            <a:avLst/>
          </a:prstGeom>
          <a:scene3d>
            <a:camera prst="orthographicFront"/>
            <a:lightRig rig="threePt" dir="t"/>
          </a:scene3d>
          <a:sp3d>
            <a:bevelT prst="slope"/>
          </a:sp3d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5" name="Ellipse 4"/>
          <xdr:cNvSpPr/>
        </xdr:nvSpPr>
        <xdr:spPr>
          <a:xfrm>
            <a:off x="1599107" y="4863042"/>
            <a:ext cx="213844" cy="214842"/>
          </a:xfrm>
          <a:prstGeom prst="ellipse">
            <a:avLst/>
          </a:prstGeom>
          <a:gradFill flip="none" rotWithShape="1">
            <a:gsLst>
              <a:gs pos="0">
                <a:schemeClr val="bg2">
                  <a:lumMod val="25000"/>
                  <a:shade val="30000"/>
                  <a:satMod val="115000"/>
                  <a:alpha val="34000"/>
                </a:schemeClr>
              </a:gs>
              <a:gs pos="50000">
                <a:schemeClr val="bg2">
                  <a:lumMod val="25000"/>
                  <a:shade val="67500"/>
                  <a:satMod val="115000"/>
                </a:schemeClr>
              </a:gs>
              <a:gs pos="100000">
                <a:schemeClr val="bg1"/>
              </a:gs>
            </a:gsLst>
            <a:path path="circle">
              <a:fillToRect l="50000" t="50000" r="50000" b="50000"/>
            </a:path>
            <a:tileRect/>
          </a:gra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>
    <xdr:from>
      <xdr:col>6</xdr:col>
      <xdr:colOff>66261</xdr:colOff>
      <xdr:row>17</xdr:row>
      <xdr:rowOff>99391</xdr:rowOff>
    </xdr:from>
    <xdr:to>
      <xdr:col>9</xdr:col>
      <xdr:colOff>502730</xdr:colOff>
      <xdr:row>25</xdr:row>
      <xdr:rowOff>122363</xdr:rowOff>
    </xdr:to>
    <xdr:sp macro="" textlink="">
      <xdr:nvSpPr>
        <xdr:cNvPr id="6" name="Forme en L 5"/>
        <xdr:cNvSpPr/>
      </xdr:nvSpPr>
      <xdr:spPr>
        <a:xfrm>
          <a:off x="960783" y="3147391"/>
          <a:ext cx="2722469" cy="1546972"/>
        </a:xfrm>
        <a:prstGeom prst="corner">
          <a:avLst>
            <a:gd name="adj1" fmla="val 50000"/>
            <a:gd name="adj2" fmla="val 68072"/>
          </a:avLst>
        </a:prstGeom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248479</xdr:colOff>
      <xdr:row>18</xdr:row>
      <xdr:rowOff>57978</xdr:rowOff>
    </xdr:from>
    <xdr:to>
      <xdr:col>7</xdr:col>
      <xdr:colOff>61688</xdr:colOff>
      <xdr:row>21</xdr:row>
      <xdr:rowOff>32253</xdr:rowOff>
    </xdr:to>
    <xdr:sp macro="" textlink="">
      <xdr:nvSpPr>
        <xdr:cNvPr id="7" name="Ellipse 6"/>
        <xdr:cNvSpPr/>
      </xdr:nvSpPr>
      <xdr:spPr>
        <a:xfrm>
          <a:off x="1143001" y="3296478"/>
          <a:ext cx="575209" cy="545775"/>
        </a:xfrm>
        <a:prstGeom prst="ellipse">
          <a:avLst/>
        </a:prstGeom>
        <a:gradFill flip="none" rotWithShape="1">
          <a:gsLst>
            <a:gs pos="0">
              <a:schemeClr val="bg2">
                <a:lumMod val="25000"/>
                <a:shade val="30000"/>
                <a:satMod val="115000"/>
                <a:alpha val="34000"/>
              </a:schemeClr>
            </a:gs>
            <a:gs pos="50000">
              <a:schemeClr val="bg2">
                <a:lumMod val="25000"/>
                <a:shade val="67500"/>
                <a:satMod val="115000"/>
              </a:schemeClr>
            </a:gs>
            <a:gs pos="100000">
              <a:schemeClr val="bg1"/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7</xdr:col>
      <xdr:colOff>355494</xdr:colOff>
      <xdr:row>22</xdr:row>
      <xdr:rowOff>32765</xdr:rowOff>
    </xdr:from>
    <xdr:to>
      <xdr:col>8</xdr:col>
      <xdr:colOff>98319</xdr:colOff>
      <xdr:row>24</xdr:row>
      <xdr:rowOff>127503</xdr:rowOff>
    </xdr:to>
    <xdr:sp macro="" textlink="">
      <xdr:nvSpPr>
        <xdr:cNvPr id="8" name="Ellipse 7"/>
        <xdr:cNvSpPr/>
      </xdr:nvSpPr>
      <xdr:spPr>
        <a:xfrm>
          <a:off x="2012016" y="4033265"/>
          <a:ext cx="504825" cy="475738"/>
        </a:xfrm>
        <a:prstGeom prst="ellipse">
          <a:avLst/>
        </a:prstGeom>
        <a:gradFill flip="none" rotWithShape="1">
          <a:gsLst>
            <a:gs pos="0">
              <a:schemeClr val="bg2">
                <a:lumMod val="25000"/>
                <a:shade val="30000"/>
                <a:satMod val="115000"/>
                <a:alpha val="34000"/>
              </a:schemeClr>
            </a:gs>
            <a:gs pos="50000">
              <a:schemeClr val="bg2">
                <a:lumMod val="25000"/>
                <a:shade val="67500"/>
                <a:satMod val="115000"/>
              </a:schemeClr>
            </a:gs>
            <a:gs pos="100000">
              <a:schemeClr val="bg1"/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252400</xdr:colOff>
      <xdr:row>21</xdr:row>
      <xdr:rowOff>147065</xdr:rowOff>
    </xdr:from>
    <xdr:to>
      <xdr:col>7</xdr:col>
      <xdr:colOff>65609</xdr:colOff>
      <xdr:row>24</xdr:row>
      <xdr:rowOff>127503</xdr:rowOff>
    </xdr:to>
    <xdr:sp macro="" textlink="">
      <xdr:nvSpPr>
        <xdr:cNvPr id="9" name="Ellipse 8"/>
        <xdr:cNvSpPr/>
      </xdr:nvSpPr>
      <xdr:spPr>
        <a:xfrm>
          <a:off x="1146922" y="3957065"/>
          <a:ext cx="575209" cy="551938"/>
        </a:xfrm>
        <a:prstGeom prst="ellipse">
          <a:avLst/>
        </a:prstGeom>
        <a:gradFill flip="none" rotWithShape="1">
          <a:gsLst>
            <a:gs pos="0">
              <a:schemeClr val="bg2">
                <a:lumMod val="25000"/>
                <a:shade val="30000"/>
                <a:satMod val="115000"/>
                <a:alpha val="34000"/>
              </a:schemeClr>
            </a:gs>
            <a:gs pos="50000">
              <a:schemeClr val="bg2">
                <a:lumMod val="25000"/>
                <a:shade val="67500"/>
                <a:satMod val="115000"/>
              </a:schemeClr>
            </a:gs>
            <a:gs pos="100000">
              <a:schemeClr val="bg1"/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13</xdr:col>
      <xdr:colOff>9525</xdr:colOff>
      <xdr:row>1</xdr:row>
      <xdr:rowOff>9525</xdr:rowOff>
    </xdr:from>
    <xdr:to>
      <xdr:col>19</xdr:col>
      <xdr:colOff>38100</xdr:colOff>
      <xdr:row>8</xdr:row>
      <xdr:rowOff>133350</xdr:rowOff>
    </xdr:to>
    <xdr:pic>
      <xdr:nvPicPr>
        <xdr:cNvPr id="225367" name="Picture 6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568" t="17537" r="4774" b="18024"/>
        <a:stretch>
          <a:fillRect/>
        </a:stretch>
      </xdr:blipFill>
      <xdr:spPr bwMode="auto">
        <a:xfrm>
          <a:off x="6257925" y="200025"/>
          <a:ext cx="4600575" cy="1457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654326</xdr:colOff>
      <xdr:row>4</xdr:row>
      <xdr:rowOff>82826</xdr:rowOff>
    </xdr:from>
    <xdr:to>
      <xdr:col>13</xdr:col>
      <xdr:colOff>198782</xdr:colOff>
      <xdr:row>5</xdr:row>
      <xdr:rowOff>74543</xdr:rowOff>
    </xdr:to>
    <xdr:sp macro="" textlink="">
      <xdr:nvSpPr>
        <xdr:cNvPr id="13" name="Flèche droite à entaille 12"/>
        <xdr:cNvSpPr/>
      </xdr:nvSpPr>
      <xdr:spPr>
        <a:xfrm>
          <a:off x="6120848" y="844826"/>
          <a:ext cx="306456" cy="182217"/>
        </a:xfrm>
        <a:prstGeom prst="notch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15</xdr:col>
      <xdr:colOff>513522</xdr:colOff>
      <xdr:row>2</xdr:row>
      <xdr:rowOff>41413</xdr:rowOff>
    </xdr:from>
    <xdr:to>
      <xdr:col>16</xdr:col>
      <xdr:colOff>57978</xdr:colOff>
      <xdr:row>3</xdr:row>
      <xdr:rowOff>33130</xdr:rowOff>
    </xdr:to>
    <xdr:sp macro="" textlink="">
      <xdr:nvSpPr>
        <xdr:cNvPr id="14" name="Flèche droite à entaille 13"/>
        <xdr:cNvSpPr/>
      </xdr:nvSpPr>
      <xdr:spPr>
        <a:xfrm>
          <a:off x="8266044" y="422413"/>
          <a:ext cx="306456" cy="182217"/>
        </a:xfrm>
        <a:prstGeom prst="notch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9</xdr:col>
      <xdr:colOff>502730</xdr:colOff>
      <xdr:row>22</xdr:row>
      <xdr:rowOff>107674</xdr:rowOff>
    </xdr:from>
    <xdr:to>
      <xdr:col>10</xdr:col>
      <xdr:colOff>554935</xdr:colOff>
      <xdr:row>23</xdr:row>
      <xdr:rowOff>116619</xdr:rowOff>
    </xdr:to>
    <xdr:cxnSp macro="">
      <xdr:nvCxnSpPr>
        <xdr:cNvPr id="16" name="Connecteur droit avec flèche 15"/>
        <xdr:cNvCxnSpPr>
          <a:stCxn id="6" idx="0"/>
        </xdr:cNvCxnSpPr>
      </xdr:nvCxnSpPr>
      <xdr:spPr>
        <a:xfrm flipV="1">
          <a:off x="3683252" y="4108174"/>
          <a:ext cx="814205" cy="199445"/>
        </a:xfrm>
        <a:prstGeom prst="straightConnector1">
          <a:avLst/>
        </a:prstGeom>
        <a:ln w="28575">
          <a:solidFill>
            <a:schemeClr val="tx1">
              <a:lumMod val="95000"/>
              <a:lumOff val="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273326</xdr:colOff>
      <xdr:row>22</xdr:row>
      <xdr:rowOff>41413</xdr:rowOff>
    </xdr:from>
    <xdr:to>
      <xdr:col>8</xdr:col>
      <xdr:colOff>397565</xdr:colOff>
      <xdr:row>24</xdr:row>
      <xdr:rowOff>49696</xdr:rowOff>
    </xdr:to>
    <xdr:sp macro="" textlink="">
      <xdr:nvSpPr>
        <xdr:cNvPr id="18" name="Rectangle à coins arrondis 17"/>
        <xdr:cNvSpPr/>
      </xdr:nvSpPr>
      <xdr:spPr>
        <a:xfrm>
          <a:off x="2691848" y="4041913"/>
          <a:ext cx="124239" cy="389283"/>
        </a:xfrm>
        <a:prstGeom prst="roundRect">
          <a:avLst/>
        </a:prstGeom>
        <a:gradFill flip="none" rotWithShape="1">
          <a:gsLst>
            <a:gs pos="0">
              <a:schemeClr val="bg1">
                <a:lumMod val="50000"/>
                <a:shade val="30000"/>
                <a:satMod val="115000"/>
              </a:schemeClr>
            </a:gs>
            <a:gs pos="50000">
              <a:schemeClr val="bg1">
                <a:lumMod val="50000"/>
                <a:shade val="67500"/>
                <a:satMod val="115000"/>
              </a:schemeClr>
            </a:gs>
            <a:gs pos="100000">
              <a:schemeClr val="bg1">
                <a:lumMod val="50000"/>
                <a:shade val="100000"/>
                <a:satMod val="115000"/>
              </a:schemeClr>
            </a:gs>
          </a:gsLst>
          <a:lin ang="0" scaled="1"/>
          <a:tileRect/>
        </a:gra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455544</xdr:colOff>
      <xdr:row>22</xdr:row>
      <xdr:rowOff>45643</xdr:rowOff>
    </xdr:from>
    <xdr:to>
      <xdr:col>8</xdr:col>
      <xdr:colOff>579783</xdr:colOff>
      <xdr:row>24</xdr:row>
      <xdr:rowOff>53926</xdr:rowOff>
    </xdr:to>
    <xdr:sp macro="" textlink="">
      <xdr:nvSpPr>
        <xdr:cNvPr id="19" name="Rectangle à coins arrondis 18"/>
        <xdr:cNvSpPr/>
      </xdr:nvSpPr>
      <xdr:spPr>
        <a:xfrm>
          <a:off x="2903672" y="4046143"/>
          <a:ext cx="124239" cy="389283"/>
        </a:xfrm>
        <a:prstGeom prst="roundRect">
          <a:avLst/>
        </a:prstGeom>
        <a:gradFill flip="none" rotWithShape="1">
          <a:gsLst>
            <a:gs pos="0">
              <a:schemeClr val="bg1">
                <a:lumMod val="50000"/>
                <a:shade val="30000"/>
                <a:satMod val="115000"/>
              </a:schemeClr>
            </a:gs>
            <a:gs pos="50000">
              <a:schemeClr val="bg1">
                <a:lumMod val="50000"/>
                <a:shade val="67500"/>
                <a:satMod val="115000"/>
              </a:schemeClr>
            </a:gs>
            <a:gs pos="100000">
              <a:schemeClr val="bg1">
                <a:lumMod val="50000"/>
                <a:shade val="100000"/>
                <a:satMod val="115000"/>
              </a:schemeClr>
            </a:gs>
          </a:gsLst>
          <a:lin ang="0" scaled="1"/>
          <a:tileRect/>
        </a:gra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649357</xdr:colOff>
      <xdr:row>22</xdr:row>
      <xdr:rowOff>45080</xdr:rowOff>
    </xdr:from>
    <xdr:to>
      <xdr:col>9</xdr:col>
      <xdr:colOff>11596</xdr:colOff>
      <xdr:row>24</xdr:row>
      <xdr:rowOff>53363</xdr:rowOff>
    </xdr:to>
    <xdr:sp macro="" textlink="">
      <xdr:nvSpPr>
        <xdr:cNvPr id="20" name="Rectangle à coins arrondis 19"/>
        <xdr:cNvSpPr/>
      </xdr:nvSpPr>
      <xdr:spPr>
        <a:xfrm>
          <a:off x="3097485" y="4045580"/>
          <a:ext cx="124239" cy="389283"/>
        </a:xfrm>
        <a:prstGeom prst="roundRect">
          <a:avLst/>
        </a:prstGeom>
        <a:gradFill flip="none" rotWithShape="1">
          <a:gsLst>
            <a:gs pos="0">
              <a:schemeClr val="bg1">
                <a:lumMod val="50000"/>
                <a:shade val="30000"/>
                <a:satMod val="115000"/>
              </a:schemeClr>
            </a:gs>
            <a:gs pos="50000">
              <a:schemeClr val="bg1">
                <a:lumMod val="50000"/>
                <a:shade val="67500"/>
                <a:satMod val="115000"/>
              </a:schemeClr>
            </a:gs>
            <a:gs pos="100000">
              <a:schemeClr val="bg1">
                <a:lumMod val="50000"/>
                <a:shade val="100000"/>
                <a:satMod val="115000"/>
              </a:schemeClr>
            </a:gs>
          </a:gsLst>
          <a:lin ang="0" scaled="1"/>
          <a:tileRect/>
        </a:gra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9</xdr:col>
      <xdr:colOff>64605</xdr:colOff>
      <xdr:row>22</xdr:row>
      <xdr:rowOff>44339</xdr:rowOff>
    </xdr:from>
    <xdr:to>
      <xdr:col>9</xdr:col>
      <xdr:colOff>188844</xdr:colOff>
      <xdr:row>24</xdr:row>
      <xdr:rowOff>52622</xdr:rowOff>
    </xdr:to>
    <xdr:sp macro="" textlink="">
      <xdr:nvSpPr>
        <xdr:cNvPr id="21" name="Rectangle à coins arrondis 20"/>
        <xdr:cNvSpPr/>
      </xdr:nvSpPr>
      <xdr:spPr>
        <a:xfrm>
          <a:off x="3274733" y="4044839"/>
          <a:ext cx="124239" cy="389283"/>
        </a:xfrm>
        <a:prstGeom prst="roundRect">
          <a:avLst/>
        </a:prstGeom>
        <a:gradFill flip="none" rotWithShape="1">
          <a:gsLst>
            <a:gs pos="0">
              <a:schemeClr val="bg1">
                <a:lumMod val="50000"/>
                <a:shade val="30000"/>
                <a:satMod val="115000"/>
              </a:schemeClr>
            </a:gs>
            <a:gs pos="50000">
              <a:schemeClr val="bg1">
                <a:lumMod val="50000"/>
                <a:shade val="67500"/>
                <a:satMod val="115000"/>
              </a:schemeClr>
            </a:gs>
            <a:gs pos="100000">
              <a:schemeClr val="bg1">
                <a:lumMod val="50000"/>
                <a:shade val="100000"/>
                <a:satMod val="115000"/>
              </a:schemeClr>
            </a:gs>
          </a:gsLst>
          <a:lin ang="0" scaled="1"/>
          <a:tileRect/>
        </a:gra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9</xdr:col>
      <xdr:colOff>250135</xdr:colOff>
      <xdr:row>22</xdr:row>
      <xdr:rowOff>52059</xdr:rowOff>
    </xdr:from>
    <xdr:to>
      <xdr:col>9</xdr:col>
      <xdr:colOff>374374</xdr:colOff>
      <xdr:row>24</xdr:row>
      <xdr:rowOff>60342</xdr:rowOff>
    </xdr:to>
    <xdr:sp macro="" textlink="">
      <xdr:nvSpPr>
        <xdr:cNvPr id="22" name="Rectangle à coins arrondis 21"/>
        <xdr:cNvSpPr/>
      </xdr:nvSpPr>
      <xdr:spPr>
        <a:xfrm>
          <a:off x="3460263" y="4052559"/>
          <a:ext cx="124239" cy="389283"/>
        </a:xfrm>
        <a:prstGeom prst="roundRect">
          <a:avLst/>
        </a:prstGeom>
        <a:gradFill flip="none" rotWithShape="1">
          <a:gsLst>
            <a:gs pos="0">
              <a:schemeClr val="bg1">
                <a:lumMod val="50000"/>
                <a:shade val="30000"/>
                <a:satMod val="115000"/>
              </a:schemeClr>
            </a:gs>
            <a:gs pos="50000">
              <a:schemeClr val="bg1">
                <a:lumMod val="50000"/>
                <a:shade val="67500"/>
                <a:satMod val="115000"/>
              </a:schemeClr>
            </a:gs>
            <a:gs pos="100000">
              <a:schemeClr val="bg1">
                <a:lumMod val="50000"/>
                <a:shade val="100000"/>
                <a:satMod val="115000"/>
              </a:schemeClr>
            </a:gs>
          </a:gsLst>
          <a:lin ang="0" scaled="1"/>
          <a:tileRect/>
        </a:gra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31</xdr:row>
      <xdr:rowOff>9525</xdr:rowOff>
    </xdr:from>
    <xdr:to>
      <xdr:col>16</xdr:col>
      <xdr:colOff>0</xdr:colOff>
      <xdr:row>56</xdr:row>
      <xdr:rowOff>257175</xdr:rowOff>
    </xdr:to>
    <xdr:graphicFrame macro="">
      <xdr:nvGraphicFramePr>
        <xdr:cNvPr id="222534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166710</xdr:colOff>
      <xdr:row>10</xdr:row>
      <xdr:rowOff>85818</xdr:rowOff>
    </xdr:from>
    <xdr:to>
      <xdr:col>12</xdr:col>
      <xdr:colOff>508297</xdr:colOff>
      <xdr:row>12</xdr:row>
      <xdr:rowOff>72680</xdr:rowOff>
    </xdr:to>
    <xdr:sp macro="" textlink="">
      <xdr:nvSpPr>
        <xdr:cNvPr id="89" name="Ellipse 88"/>
        <xdr:cNvSpPr/>
      </xdr:nvSpPr>
      <xdr:spPr>
        <a:xfrm>
          <a:off x="1973739" y="6225361"/>
          <a:ext cx="341587" cy="324319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12</xdr:col>
      <xdr:colOff>162629</xdr:colOff>
      <xdr:row>12</xdr:row>
      <xdr:rowOff>180973</xdr:rowOff>
    </xdr:from>
    <xdr:to>
      <xdr:col>12</xdr:col>
      <xdr:colOff>504216</xdr:colOff>
      <xdr:row>14</xdr:row>
      <xdr:rowOff>167835</xdr:rowOff>
    </xdr:to>
    <xdr:sp macro="" textlink="">
      <xdr:nvSpPr>
        <xdr:cNvPr id="90" name="Ellipse 89"/>
        <xdr:cNvSpPr/>
      </xdr:nvSpPr>
      <xdr:spPr>
        <a:xfrm>
          <a:off x="7005590" y="2471986"/>
          <a:ext cx="341587" cy="322744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12</xdr:col>
      <xdr:colOff>172107</xdr:colOff>
      <xdr:row>14</xdr:row>
      <xdr:rowOff>278148</xdr:rowOff>
    </xdr:from>
    <xdr:to>
      <xdr:col>12</xdr:col>
      <xdr:colOff>513694</xdr:colOff>
      <xdr:row>16</xdr:row>
      <xdr:rowOff>265009</xdr:rowOff>
    </xdr:to>
    <xdr:sp macro="" textlink="">
      <xdr:nvSpPr>
        <xdr:cNvPr id="91" name="Ellipse 90"/>
        <xdr:cNvSpPr/>
      </xdr:nvSpPr>
      <xdr:spPr>
        <a:xfrm>
          <a:off x="1979136" y="7092605"/>
          <a:ext cx="341587" cy="324318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13</xdr:col>
      <xdr:colOff>23836</xdr:colOff>
      <xdr:row>10</xdr:row>
      <xdr:rowOff>89713</xdr:rowOff>
    </xdr:from>
    <xdr:to>
      <xdr:col>13</xdr:col>
      <xdr:colOff>661026</xdr:colOff>
      <xdr:row>14</xdr:row>
      <xdr:rowOff>43731</xdr:rowOff>
    </xdr:to>
    <xdr:sp macro="" textlink="">
      <xdr:nvSpPr>
        <xdr:cNvPr id="92" name="Ellipse 91"/>
        <xdr:cNvSpPr/>
      </xdr:nvSpPr>
      <xdr:spPr>
        <a:xfrm>
          <a:off x="2592865" y="6229256"/>
          <a:ext cx="637190" cy="628932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13</xdr:col>
      <xdr:colOff>34158</xdr:colOff>
      <xdr:row>14</xdr:row>
      <xdr:rowOff>111674</xdr:rowOff>
    </xdr:from>
    <xdr:to>
      <xdr:col>13</xdr:col>
      <xdr:colOff>676603</xdr:colOff>
      <xdr:row>14</xdr:row>
      <xdr:rowOff>211521</xdr:rowOff>
    </xdr:to>
    <xdr:sp macro="" textlink="">
      <xdr:nvSpPr>
        <xdr:cNvPr id="94" name="Rectangle à coins arrondis 93"/>
        <xdr:cNvSpPr/>
      </xdr:nvSpPr>
      <xdr:spPr>
        <a:xfrm>
          <a:off x="2609192" y="6877708"/>
          <a:ext cx="642445" cy="99847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13</xdr:col>
      <xdr:colOff>32844</xdr:colOff>
      <xdr:row>14</xdr:row>
      <xdr:rowOff>236483</xdr:rowOff>
    </xdr:from>
    <xdr:to>
      <xdr:col>13</xdr:col>
      <xdr:colOff>675289</xdr:colOff>
      <xdr:row>16</xdr:row>
      <xdr:rowOff>1312</xdr:rowOff>
    </xdr:to>
    <xdr:sp macro="" textlink="">
      <xdr:nvSpPr>
        <xdr:cNvPr id="95" name="Rectangle à coins arrondis 94"/>
        <xdr:cNvSpPr/>
      </xdr:nvSpPr>
      <xdr:spPr>
        <a:xfrm>
          <a:off x="2607878" y="7002517"/>
          <a:ext cx="642445" cy="99847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13</xdr:col>
      <xdr:colOff>27590</xdr:colOff>
      <xdr:row>16</xdr:row>
      <xdr:rowOff>27589</xdr:rowOff>
    </xdr:from>
    <xdr:to>
      <xdr:col>13</xdr:col>
      <xdr:colOff>670035</xdr:colOff>
      <xdr:row>16</xdr:row>
      <xdr:rowOff>127436</xdr:rowOff>
    </xdr:to>
    <xdr:sp macro="" textlink="">
      <xdr:nvSpPr>
        <xdr:cNvPr id="96" name="Rectangle à coins arrondis 95"/>
        <xdr:cNvSpPr/>
      </xdr:nvSpPr>
      <xdr:spPr>
        <a:xfrm>
          <a:off x="2602624" y="7128641"/>
          <a:ext cx="642445" cy="99847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13</xdr:col>
      <xdr:colOff>28904</xdr:colOff>
      <xdr:row>16</xdr:row>
      <xdr:rowOff>160283</xdr:rowOff>
    </xdr:from>
    <xdr:to>
      <xdr:col>13</xdr:col>
      <xdr:colOff>671349</xdr:colOff>
      <xdr:row>16</xdr:row>
      <xdr:rowOff>260130</xdr:rowOff>
    </xdr:to>
    <xdr:sp macro="" textlink="">
      <xdr:nvSpPr>
        <xdr:cNvPr id="97" name="Rectangle à coins arrondis 96"/>
        <xdr:cNvSpPr/>
      </xdr:nvSpPr>
      <xdr:spPr>
        <a:xfrm>
          <a:off x="2603938" y="7261335"/>
          <a:ext cx="642445" cy="99847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58</xdr:row>
      <xdr:rowOff>142875</xdr:rowOff>
    </xdr:from>
    <xdr:to>
      <xdr:col>13</xdr:col>
      <xdr:colOff>238125</xdr:colOff>
      <xdr:row>101</xdr:row>
      <xdr:rowOff>76200</xdr:rowOff>
    </xdr:to>
    <xdr:grpSp>
      <xdr:nvGrpSpPr>
        <xdr:cNvPr id="222543" name="Groupe 109"/>
        <xdr:cNvGrpSpPr>
          <a:grpSpLocks/>
        </xdr:cNvGrpSpPr>
      </xdr:nvGrpSpPr>
      <xdr:grpSpPr bwMode="auto">
        <a:xfrm>
          <a:off x="291353" y="9331699"/>
          <a:ext cx="7566772" cy="8035177"/>
          <a:chOff x="402632" y="9292093"/>
          <a:chExt cx="6122213" cy="8120102"/>
        </a:xfrm>
      </xdr:grpSpPr>
      <xdr:pic>
        <xdr:nvPicPr>
          <xdr:cNvPr id="10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2632" y="9292093"/>
            <a:ext cx="5689875" cy="8120102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graphicFrame macro="">
        <xdr:nvGraphicFramePr>
          <xdr:cNvPr id="222548" name="Graphique 108"/>
          <xdr:cNvGraphicFramePr>
            <a:graphicFrameLocks/>
          </xdr:cNvGraphicFramePr>
        </xdr:nvGraphicFramePr>
        <xdr:xfrm>
          <a:off x="729885" y="10021933"/>
          <a:ext cx="5794960" cy="69000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13</xdr:col>
      <xdr:colOff>714375</xdr:colOff>
      <xdr:row>12</xdr:row>
      <xdr:rowOff>219075</xdr:rowOff>
    </xdr:from>
    <xdr:to>
      <xdr:col>15</xdr:col>
      <xdr:colOff>409575</xdr:colOff>
      <xdr:row>12</xdr:row>
      <xdr:rowOff>220663</xdr:rowOff>
    </xdr:to>
    <xdr:cxnSp macro="">
      <xdr:nvCxnSpPr>
        <xdr:cNvPr id="124" name="Connecteur droit avec flèche 123"/>
        <xdr:cNvCxnSpPr/>
      </xdr:nvCxnSpPr>
      <xdr:spPr>
        <a:xfrm rot="10800000">
          <a:off x="7934325" y="1952625"/>
          <a:ext cx="476250" cy="158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325244</xdr:colOff>
      <xdr:row>8</xdr:row>
      <xdr:rowOff>250903</xdr:rowOff>
    </xdr:from>
    <xdr:to>
      <xdr:col>10</xdr:col>
      <xdr:colOff>326832</xdr:colOff>
      <xdr:row>10</xdr:row>
      <xdr:rowOff>237766</xdr:rowOff>
    </xdr:to>
    <xdr:cxnSp macro="">
      <xdr:nvCxnSpPr>
        <xdr:cNvPr id="129" name="Connecteur droit avec flèche 128"/>
        <xdr:cNvCxnSpPr/>
      </xdr:nvCxnSpPr>
      <xdr:spPr>
        <a:xfrm rot="5400000">
          <a:off x="5843167" y="1479468"/>
          <a:ext cx="321399" cy="1588"/>
        </a:xfrm>
        <a:prstGeom prst="straightConnector1">
          <a:avLst/>
        </a:prstGeom>
        <a:ln w="28575">
          <a:solidFill>
            <a:schemeClr val="tx1">
              <a:lumMod val="95000"/>
              <a:lumOff val="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325244</xdr:colOff>
      <xdr:row>8</xdr:row>
      <xdr:rowOff>250903</xdr:rowOff>
    </xdr:from>
    <xdr:to>
      <xdr:col>9</xdr:col>
      <xdr:colOff>326832</xdr:colOff>
      <xdr:row>10</xdr:row>
      <xdr:rowOff>237766</xdr:rowOff>
    </xdr:to>
    <xdr:cxnSp macro="">
      <xdr:nvCxnSpPr>
        <xdr:cNvPr id="18" name="Connecteur droit avec flèche 17"/>
        <xdr:cNvCxnSpPr/>
      </xdr:nvCxnSpPr>
      <xdr:spPr>
        <a:xfrm rot="5400000">
          <a:off x="6223819" y="2029478"/>
          <a:ext cx="320238" cy="1588"/>
        </a:xfrm>
        <a:prstGeom prst="straightConnector1">
          <a:avLst/>
        </a:prstGeom>
        <a:ln w="28575">
          <a:solidFill>
            <a:schemeClr val="tx1">
              <a:lumMod val="95000"/>
              <a:lumOff val="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325244</xdr:colOff>
      <xdr:row>8</xdr:row>
      <xdr:rowOff>250903</xdr:rowOff>
    </xdr:from>
    <xdr:to>
      <xdr:col>10</xdr:col>
      <xdr:colOff>326832</xdr:colOff>
      <xdr:row>10</xdr:row>
      <xdr:rowOff>237766</xdr:rowOff>
    </xdr:to>
    <xdr:cxnSp macro="">
      <xdr:nvCxnSpPr>
        <xdr:cNvPr id="68" name="Connecteur droit avec flèche 67"/>
        <xdr:cNvCxnSpPr/>
      </xdr:nvCxnSpPr>
      <xdr:spPr>
        <a:xfrm rot="5400000">
          <a:off x="5461819" y="2029478"/>
          <a:ext cx="320238" cy="1588"/>
        </a:xfrm>
        <a:prstGeom prst="straightConnector1">
          <a:avLst/>
        </a:prstGeom>
        <a:ln w="28575">
          <a:solidFill>
            <a:schemeClr val="tx1">
              <a:lumMod val="95000"/>
              <a:lumOff val="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32</xdr:row>
      <xdr:rowOff>47625</xdr:rowOff>
    </xdr:from>
    <xdr:to>
      <xdr:col>20</xdr:col>
      <xdr:colOff>57150</xdr:colOff>
      <xdr:row>70</xdr:row>
      <xdr:rowOff>171450</xdr:rowOff>
    </xdr:to>
    <xdr:graphicFrame macro="">
      <xdr:nvGraphicFramePr>
        <xdr:cNvPr id="1747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247650</xdr:colOff>
      <xdr:row>32</xdr:row>
      <xdr:rowOff>133350</xdr:rowOff>
    </xdr:from>
    <xdr:to>
      <xdr:col>28</xdr:col>
      <xdr:colOff>228600</xdr:colOff>
      <xdr:row>70</xdr:row>
      <xdr:rowOff>171450</xdr:rowOff>
    </xdr:to>
    <xdr:graphicFrame macro="">
      <xdr:nvGraphicFramePr>
        <xdr:cNvPr id="1747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6:M37"/>
  <sheetViews>
    <sheetView showGridLines="0" showRowColHeaders="0" view="pageBreakPreview" zoomScaleNormal="85" zoomScaleSheetLayoutView="100" workbookViewId="0">
      <selection activeCell="G34" sqref="G34"/>
    </sheetView>
  </sheetViews>
  <sheetFormatPr baseColWidth="10" defaultRowHeight="11.25" x14ac:dyDescent="0.2"/>
  <cols>
    <col min="1" max="1" width="2.85546875" style="198" customWidth="1"/>
    <col min="2" max="16384" width="11.42578125" style="198"/>
  </cols>
  <sheetData>
    <row r="6" ht="52.5" customHeight="1" x14ac:dyDescent="0.2"/>
    <row r="34" spans="7:13" x14ac:dyDescent="0.2">
      <c r="G34" s="199"/>
      <c r="H34" s="200"/>
      <c r="I34" s="200"/>
      <c r="J34" s="200"/>
      <c r="K34" s="200"/>
      <c r="L34" s="200"/>
      <c r="M34" s="199"/>
    </row>
    <row r="35" spans="7:13" x14ac:dyDescent="0.2">
      <c r="G35" s="199"/>
      <c r="H35" s="200"/>
      <c r="I35" s="200"/>
      <c r="J35" s="200"/>
      <c r="K35" s="200"/>
      <c r="L35" s="200"/>
      <c r="M35" s="199"/>
    </row>
    <row r="36" spans="7:13" x14ac:dyDescent="0.2">
      <c r="G36" s="199"/>
      <c r="H36" s="200"/>
      <c r="I36" s="200"/>
      <c r="J36" s="200"/>
      <c r="K36" s="200"/>
      <c r="L36" s="200"/>
      <c r="M36" s="199"/>
    </row>
    <row r="37" spans="7:13" x14ac:dyDescent="0.2">
      <c r="G37" s="199"/>
      <c r="H37" s="199"/>
      <c r="I37" s="199"/>
      <c r="J37" s="199"/>
      <c r="K37" s="199"/>
      <c r="L37" s="199"/>
      <c r="M37" s="199"/>
    </row>
  </sheetData>
  <sheetProtection sheet="1" objects="1" scenarios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T42"/>
  <sheetViews>
    <sheetView showGridLines="0" showRowColHeaders="0" view="pageBreakPreview" zoomScale="90" zoomScaleNormal="100" zoomScaleSheetLayoutView="90" workbookViewId="0">
      <selection activeCell="J33" sqref="J33"/>
    </sheetView>
  </sheetViews>
  <sheetFormatPr baseColWidth="10" defaultRowHeight="15" x14ac:dyDescent="0.25"/>
  <cols>
    <col min="1" max="4" width="2.28515625" customWidth="1"/>
    <col min="5" max="5" width="2.28515625" style="7" customWidth="1"/>
    <col min="6" max="6" width="2.28515625" customWidth="1"/>
    <col min="8" max="13" width="11.42578125" style="32"/>
    <col min="14" max="14" width="11.42578125" style="33"/>
    <col min="15" max="18" width="11.42578125" style="32"/>
    <col min="20" max="20" width="5" customWidth="1"/>
  </cols>
  <sheetData>
    <row r="1" spans="1:20" x14ac:dyDescent="0.25">
      <c r="A1" s="110"/>
      <c r="B1" s="110"/>
      <c r="C1" s="110"/>
      <c r="D1" s="110"/>
      <c r="E1" s="110"/>
      <c r="F1" s="110"/>
      <c r="G1" s="110"/>
      <c r="H1" s="126"/>
      <c r="I1" s="126"/>
      <c r="J1" s="126"/>
      <c r="K1" s="126"/>
      <c r="L1" s="126"/>
      <c r="M1" s="126"/>
      <c r="N1" s="137"/>
      <c r="O1" s="126"/>
      <c r="P1" s="126"/>
      <c r="Q1" s="126"/>
      <c r="R1" s="126"/>
      <c r="S1" s="110"/>
      <c r="T1" s="110"/>
    </row>
    <row r="2" spans="1:20" x14ac:dyDescent="0.25">
      <c r="A2" s="110"/>
      <c r="B2" s="111"/>
      <c r="C2" s="111"/>
      <c r="D2" s="145" t="s">
        <v>166</v>
      </c>
      <c r="E2" s="110"/>
      <c r="F2" s="145"/>
      <c r="G2" s="110"/>
      <c r="H2" s="126"/>
      <c r="I2" s="126"/>
      <c r="J2" s="126"/>
      <c r="K2" s="126"/>
      <c r="L2" s="126"/>
      <c r="M2" s="126"/>
      <c r="N2" s="137"/>
      <c r="O2" s="126"/>
      <c r="P2" s="126"/>
      <c r="Q2" s="126"/>
      <c r="R2" s="126"/>
      <c r="S2" s="110"/>
      <c r="T2" s="110"/>
    </row>
    <row r="3" spans="1:20" x14ac:dyDescent="0.25">
      <c r="A3" s="110"/>
      <c r="B3" s="110"/>
      <c r="C3" s="110"/>
      <c r="D3" s="110"/>
      <c r="E3" s="110"/>
      <c r="F3" s="110"/>
      <c r="G3" s="110"/>
      <c r="H3" s="126"/>
      <c r="I3" s="126"/>
      <c r="J3" s="126"/>
      <c r="K3" s="126"/>
      <c r="L3" s="126"/>
      <c r="M3" s="126"/>
      <c r="N3" s="137"/>
      <c r="O3" s="126"/>
      <c r="P3" s="126"/>
      <c r="Q3" s="126"/>
      <c r="R3" s="126"/>
      <c r="S3" s="110"/>
      <c r="T3" s="110"/>
    </row>
    <row r="4" spans="1:20" x14ac:dyDescent="0.25">
      <c r="A4" s="110"/>
      <c r="B4" s="110"/>
      <c r="C4" s="110"/>
      <c r="D4" s="110"/>
      <c r="E4" s="110"/>
      <c r="F4" s="120"/>
      <c r="G4" s="110" t="s">
        <v>167</v>
      </c>
      <c r="H4" s="126"/>
      <c r="I4" s="126"/>
      <c r="J4" s="126"/>
      <c r="K4" s="126"/>
      <c r="L4" s="126"/>
      <c r="M4" s="126"/>
      <c r="N4" s="137"/>
      <c r="O4" s="126"/>
      <c r="P4" s="126"/>
      <c r="Q4" s="126"/>
      <c r="R4" s="126"/>
      <c r="S4" s="110"/>
      <c r="T4" s="110"/>
    </row>
    <row r="5" spans="1:20" x14ac:dyDescent="0.25">
      <c r="A5" s="110"/>
      <c r="B5" s="110"/>
      <c r="C5" s="110"/>
      <c r="D5" s="110"/>
      <c r="E5" s="110"/>
      <c r="F5" s="110"/>
      <c r="G5" s="110"/>
      <c r="H5" s="126"/>
      <c r="I5" s="126"/>
      <c r="J5" s="126"/>
      <c r="K5" s="126"/>
      <c r="L5" s="126"/>
      <c r="M5" s="126"/>
      <c r="N5" s="137"/>
      <c r="O5" s="126"/>
      <c r="P5" s="126"/>
      <c r="Q5" s="126"/>
      <c r="R5" s="126"/>
      <c r="S5" s="110"/>
      <c r="T5" s="110"/>
    </row>
    <row r="6" spans="1:20" x14ac:dyDescent="0.25">
      <c r="A6" s="110"/>
      <c r="B6" s="110"/>
      <c r="C6" s="110"/>
      <c r="D6" s="110"/>
      <c r="E6" s="110"/>
      <c r="F6" s="110"/>
      <c r="G6" s="142" t="s">
        <v>171</v>
      </c>
      <c r="H6" s="143" t="s">
        <v>168</v>
      </c>
      <c r="I6" s="126"/>
      <c r="J6" s="126"/>
      <c r="K6" s="126"/>
      <c r="L6" s="126"/>
      <c r="M6" s="126"/>
      <c r="N6" s="137"/>
      <c r="O6" s="126"/>
      <c r="P6" s="126"/>
      <c r="Q6" s="126"/>
      <c r="R6" s="126"/>
      <c r="S6" s="110"/>
      <c r="T6" s="110"/>
    </row>
    <row r="7" spans="1:20" x14ac:dyDescent="0.25">
      <c r="A7" s="110"/>
      <c r="B7" s="110"/>
      <c r="C7" s="110"/>
      <c r="D7" s="110"/>
      <c r="E7" s="110"/>
      <c r="F7" s="110"/>
      <c r="G7" s="144"/>
      <c r="H7" s="126"/>
      <c r="I7" s="126"/>
      <c r="J7" s="126"/>
      <c r="K7" s="126"/>
      <c r="L7" s="126"/>
      <c r="M7" s="126"/>
      <c r="N7" s="137"/>
      <c r="O7" s="126"/>
      <c r="P7" s="126"/>
      <c r="Q7" s="126"/>
      <c r="R7" s="126"/>
      <c r="S7" s="110"/>
      <c r="T7" s="110"/>
    </row>
    <row r="8" spans="1:20" x14ac:dyDescent="0.25">
      <c r="A8" s="110"/>
      <c r="B8" s="110"/>
      <c r="C8" s="110"/>
      <c r="D8" s="110"/>
      <c r="E8" s="110"/>
      <c r="F8" s="110"/>
      <c r="G8" s="142" t="s">
        <v>172</v>
      </c>
      <c r="H8" s="143" t="s">
        <v>169</v>
      </c>
      <c r="I8" s="126"/>
      <c r="J8" s="126"/>
      <c r="K8" s="126"/>
      <c r="L8" s="126"/>
      <c r="M8" s="126"/>
      <c r="N8" s="137"/>
      <c r="O8" s="126"/>
      <c r="P8" s="126"/>
      <c r="Q8" s="126"/>
      <c r="R8" s="126"/>
      <c r="S8" s="110"/>
      <c r="T8" s="110"/>
    </row>
    <row r="9" spans="1:20" x14ac:dyDescent="0.25">
      <c r="A9" s="110"/>
      <c r="B9" s="110"/>
      <c r="C9" s="110"/>
      <c r="D9" s="110"/>
      <c r="E9" s="110"/>
      <c r="F9" s="110"/>
      <c r="G9" s="110"/>
      <c r="H9" s="126"/>
      <c r="I9" s="126"/>
      <c r="J9" s="126"/>
      <c r="K9" s="126"/>
      <c r="L9" s="126"/>
      <c r="M9" s="126"/>
      <c r="N9" s="137"/>
      <c r="O9" s="126"/>
      <c r="P9" s="126"/>
      <c r="Q9" s="126"/>
      <c r="R9" s="126"/>
      <c r="S9" s="110"/>
      <c r="T9" s="110"/>
    </row>
    <row r="10" spans="1:20" x14ac:dyDescent="0.25">
      <c r="A10" s="110"/>
      <c r="B10" s="110"/>
      <c r="C10" s="110"/>
      <c r="D10" s="110"/>
      <c r="E10" s="110"/>
      <c r="F10" s="110"/>
      <c r="G10" s="110"/>
      <c r="H10" s="126"/>
      <c r="I10" s="126"/>
      <c r="J10" s="126"/>
      <c r="K10" s="126"/>
      <c r="L10" s="126"/>
      <c r="M10" s="126"/>
      <c r="N10" s="123" t="s">
        <v>178</v>
      </c>
      <c r="O10" s="124"/>
      <c r="P10" s="124"/>
      <c r="Q10" s="124"/>
      <c r="R10" s="124"/>
      <c r="S10" s="125"/>
      <c r="T10" s="110"/>
    </row>
    <row r="11" spans="1:20" x14ac:dyDescent="0.25">
      <c r="A11" s="110"/>
      <c r="B11" s="110"/>
      <c r="C11" s="110"/>
      <c r="D11" s="110"/>
      <c r="E11" s="110"/>
      <c r="F11" s="120"/>
      <c r="G11" s="110" t="s">
        <v>170</v>
      </c>
      <c r="H11" s="126"/>
      <c r="I11" s="126"/>
      <c r="J11" s="126"/>
      <c r="K11" s="126"/>
      <c r="L11" s="126"/>
      <c r="M11" s="126"/>
      <c r="N11" s="268" t="s">
        <v>173</v>
      </c>
      <c r="O11" s="268"/>
      <c r="P11" s="268"/>
      <c r="Q11" s="269" t="s">
        <v>175</v>
      </c>
      <c r="R11" s="270"/>
      <c r="S11" s="271"/>
      <c r="T11" s="110"/>
    </row>
    <row r="12" spans="1:20" x14ac:dyDescent="0.25">
      <c r="A12" s="110"/>
      <c r="B12" s="110"/>
      <c r="C12" s="110"/>
      <c r="D12" s="110"/>
      <c r="E12" s="110"/>
      <c r="F12" s="110"/>
      <c r="G12" s="110"/>
      <c r="H12" s="126"/>
      <c r="I12" s="126"/>
      <c r="J12" s="126"/>
      <c r="K12" s="126"/>
      <c r="L12" s="126"/>
      <c r="M12" s="126"/>
      <c r="N12" s="268"/>
      <c r="O12" s="268"/>
      <c r="P12" s="268"/>
      <c r="Q12" s="272"/>
      <c r="R12" s="273"/>
      <c r="S12" s="274"/>
      <c r="T12" s="110"/>
    </row>
    <row r="13" spans="1:20" ht="15" customHeight="1" x14ac:dyDescent="0.25">
      <c r="A13" s="110"/>
      <c r="B13" s="110"/>
      <c r="C13" s="110"/>
      <c r="D13" s="110"/>
      <c r="E13" s="110"/>
      <c r="F13" s="110"/>
      <c r="G13" s="110"/>
      <c r="H13" s="126"/>
      <c r="I13" s="126"/>
      <c r="J13" s="126"/>
      <c r="K13" s="126"/>
      <c r="L13" s="126"/>
      <c r="M13" s="126"/>
      <c r="N13" s="275" t="s">
        <v>177</v>
      </c>
      <c r="O13" s="275"/>
      <c r="P13" s="275"/>
      <c r="Q13" s="269" t="s">
        <v>174</v>
      </c>
      <c r="R13" s="270"/>
      <c r="S13" s="271"/>
      <c r="T13" s="110"/>
    </row>
    <row r="14" spans="1:20" x14ac:dyDescent="0.25">
      <c r="A14" s="110"/>
      <c r="B14" s="110"/>
      <c r="C14" s="110"/>
      <c r="D14" s="110"/>
      <c r="E14" s="110"/>
      <c r="F14" s="110"/>
      <c r="G14" s="110"/>
      <c r="H14" s="126"/>
      <c r="I14" s="126"/>
      <c r="J14" s="126"/>
      <c r="K14" s="126"/>
      <c r="L14" s="126"/>
      <c r="M14" s="126"/>
      <c r="N14" s="275" t="s">
        <v>176</v>
      </c>
      <c r="O14" s="275"/>
      <c r="P14" s="275"/>
      <c r="Q14" s="272"/>
      <c r="R14" s="273"/>
      <c r="S14" s="274"/>
      <c r="T14" s="110"/>
    </row>
    <row r="15" spans="1:20" s="136" customFormat="1" ht="15.75" thickBot="1" x14ac:dyDescent="0.3">
      <c r="A15" s="138"/>
      <c r="B15" s="138"/>
      <c r="C15" s="138"/>
      <c r="D15" s="138"/>
      <c r="E15" s="138"/>
      <c r="F15" s="138"/>
      <c r="G15" s="138"/>
      <c r="H15" s="139"/>
      <c r="I15" s="139"/>
      <c r="J15" s="139"/>
      <c r="K15" s="139"/>
      <c r="L15" s="139"/>
      <c r="M15" s="139"/>
      <c r="N15" s="140"/>
      <c r="O15" s="140"/>
      <c r="P15" s="140"/>
      <c r="Q15" s="141"/>
      <c r="R15" s="141"/>
      <c r="S15" s="141"/>
      <c r="T15" s="138"/>
    </row>
    <row r="16" spans="1:20" ht="4.5" customHeight="1" thickTop="1" x14ac:dyDescent="0.25"/>
    <row r="17" spans="2:19" x14ac:dyDescent="0.25">
      <c r="B17" s="111"/>
      <c r="C17" s="111"/>
      <c r="D17" s="122" t="s">
        <v>197</v>
      </c>
      <c r="F17" s="121"/>
    </row>
    <row r="18" spans="2:19" x14ac:dyDescent="0.25">
      <c r="L18" s="127" t="s">
        <v>180</v>
      </c>
    </row>
    <row r="20" spans="2:19" x14ac:dyDescent="0.25">
      <c r="I20" s="127" t="s">
        <v>179</v>
      </c>
    </row>
    <row r="24" spans="2:19" x14ac:dyDescent="0.25">
      <c r="K24" s="128" t="s">
        <v>181</v>
      </c>
    </row>
    <row r="29" spans="2:19" x14ac:dyDescent="0.25">
      <c r="G29" s="284" t="s">
        <v>182</v>
      </c>
      <c r="H29" s="285"/>
      <c r="I29" s="288">
        <v>45000</v>
      </c>
      <c r="J29" s="276" t="s">
        <v>50</v>
      </c>
      <c r="L29" s="284" t="s">
        <v>186</v>
      </c>
      <c r="M29" s="285"/>
      <c r="N29" s="283">
        <f>IF(I39+N39+Q39&gt;I29,"ERREUR",I39+N39+Q39)</f>
        <v>4841.4450293607579</v>
      </c>
      <c r="O29" s="276" t="s">
        <v>50</v>
      </c>
      <c r="P29" s="277" t="s">
        <v>192</v>
      </c>
      <c r="Q29" s="278"/>
      <c r="R29" s="283">
        <f>I29-N29</f>
        <v>40158.554970639241</v>
      </c>
      <c r="S29" s="276" t="s">
        <v>50</v>
      </c>
    </row>
    <row r="30" spans="2:19" x14ac:dyDescent="0.25">
      <c r="G30" s="286"/>
      <c r="H30" s="287"/>
      <c r="I30" s="288"/>
      <c r="J30" s="276"/>
      <c r="L30" s="286"/>
      <c r="M30" s="287"/>
      <c r="N30" s="283"/>
      <c r="O30" s="276"/>
      <c r="P30" s="279"/>
      <c r="Q30" s="280"/>
      <c r="R30" s="283"/>
      <c r="S30" s="276"/>
    </row>
    <row r="31" spans="2:19" ht="15.75" thickBot="1" x14ac:dyDescent="0.3"/>
    <row r="32" spans="2:19" ht="15.75" thickBot="1" x14ac:dyDescent="0.3">
      <c r="E32" s="262" t="s">
        <v>198</v>
      </c>
      <c r="F32" s="263"/>
      <c r="G32" s="135" t="s">
        <v>187</v>
      </c>
      <c r="H32" s="132" t="s">
        <v>185</v>
      </c>
      <c r="I32" s="132" t="s">
        <v>87</v>
      </c>
      <c r="J32" s="133"/>
      <c r="K32" s="135" t="s">
        <v>188</v>
      </c>
      <c r="L32" s="132" t="s">
        <v>184</v>
      </c>
      <c r="M32" s="132" t="s">
        <v>185</v>
      </c>
      <c r="N32" s="147" t="s">
        <v>87</v>
      </c>
      <c r="O32" s="133"/>
      <c r="P32" s="135" t="s">
        <v>189</v>
      </c>
      <c r="Q32" s="132" t="s">
        <v>87</v>
      </c>
      <c r="R32" s="133"/>
    </row>
    <row r="33" spans="5:18" x14ac:dyDescent="0.25">
      <c r="E33" s="264"/>
      <c r="F33" s="265"/>
      <c r="G33" s="129" t="s">
        <v>75</v>
      </c>
      <c r="H33" s="146">
        <v>10</v>
      </c>
      <c r="I33" s="155">
        <f t="shared" ref="I33:I38" si="0">(4/3)*PI()*(POWER((H33),3))</f>
        <v>4188.7902047863909</v>
      </c>
      <c r="J33" s="130" t="s">
        <v>50</v>
      </c>
      <c r="K33" s="131" t="s">
        <v>81</v>
      </c>
      <c r="L33" s="146">
        <v>10</v>
      </c>
      <c r="M33" s="146">
        <v>4</v>
      </c>
      <c r="N33" s="156">
        <f t="shared" ref="N33:N38" si="1">PI()*(M33)*M33*L33</f>
        <v>502.6548245743669</v>
      </c>
      <c r="O33" s="130" t="s">
        <v>50</v>
      </c>
      <c r="P33" s="131" t="s">
        <v>88</v>
      </c>
      <c r="Q33" s="154">
        <v>100</v>
      </c>
      <c r="R33" s="130" t="s">
        <v>50</v>
      </c>
    </row>
    <row r="34" spans="5:18" x14ac:dyDescent="0.25">
      <c r="E34" s="264"/>
      <c r="F34" s="265"/>
      <c r="G34" s="129" t="s">
        <v>76</v>
      </c>
      <c r="H34" s="146"/>
      <c r="I34" s="155">
        <f t="shared" si="0"/>
        <v>0</v>
      </c>
      <c r="J34" s="130" t="s">
        <v>50</v>
      </c>
      <c r="K34" s="131" t="s">
        <v>82</v>
      </c>
      <c r="L34" s="146"/>
      <c r="M34" s="146">
        <v>21</v>
      </c>
      <c r="N34" s="156">
        <f t="shared" si="1"/>
        <v>0</v>
      </c>
      <c r="O34" s="130" t="s">
        <v>50</v>
      </c>
      <c r="P34" s="131" t="s">
        <v>89</v>
      </c>
      <c r="Q34" s="154">
        <v>50</v>
      </c>
      <c r="R34" s="130" t="s">
        <v>50</v>
      </c>
    </row>
    <row r="35" spans="5:18" x14ac:dyDescent="0.25">
      <c r="E35" s="264"/>
      <c r="F35" s="265"/>
      <c r="G35" s="129" t="s">
        <v>77</v>
      </c>
      <c r="H35" s="146"/>
      <c r="I35" s="155">
        <f t="shared" si="0"/>
        <v>0</v>
      </c>
      <c r="J35" s="130" t="s">
        <v>50</v>
      </c>
      <c r="K35" s="131" t="s">
        <v>83</v>
      </c>
      <c r="L35" s="146"/>
      <c r="M35" s="146"/>
      <c r="N35" s="156">
        <f t="shared" si="1"/>
        <v>0</v>
      </c>
      <c r="O35" s="130" t="s">
        <v>50</v>
      </c>
      <c r="P35" s="131" t="s">
        <v>90</v>
      </c>
      <c r="Q35" s="154"/>
      <c r="R35" s="130" t="s">
        <v>50</v>
      </c>
    </row>
    <row r="36" spans="5:18" x14ac:dyDescent="0.25">
      <c r="E36" s="264"/>
      <c r="F36" s="265"/>
      <c r="G36" s="129" t="s">
        <v>78</v>
      </c>
      <c r="H36" s="146"/>
      <c r="I36" s="155">
        <f t="shared" si="0"/>
        <v>0</v>
      </c>
      <c r="J36" s="130" t="s">
        <v>50</v>
      </c>
      <c r="K36" s="131" t="s">
        <v>84</v>
      </c>
      <c r="L36" s="146"/>
      <c r="M36" s="146"/>
      <c r="N36" s="156">
        <f t="shared" si="1"/>
        <v>0</v>
      </c>
      <c r="O36" s="130" t="s">
        <v>50</v>
      </c>
      <c r="P36" s="131" t="s">
        <v>91</v>
      </c>
      <c r="Q36" s="154"/>
      <c r="R36" s="130" t="s">
        <v>50</v>
      </c>
    </row>
    <row r="37" spans="5:18" x14ac:dyDescent="0.25">
      <c r="E37" s="264"/>
      <c r="F37" s="265"/>
      <c r="G37" s="129" t="s">
        <v>79</v>
      </c>
      <c r="H37" s="146"/>
      <c r="I37" s="155">
        <f t="shared" si="0"/>
        <v>0</v>
      </c>
      <c r="J37" s="130" t="s">
        <v>50</v>
      </c>
      <c r="K37" s="131" t="s">
        <v>85</v>
      </c>
      <c r="L37" s="146"/>
      <c r="M37" s="146"/>
      <c r="N37" s="156">
        <f t="shared" si="1"/>
        <v>0</v>
      </c>
      <c r="O37" s="130" t="s">
        <v>50</v>
      </c>
      <c r="P37" s="131" t="s">
        <v>92</v>
      </c>
      <c r="Q37" s="154"/>
      <c r="R37" s="130" t="s">
        <v>50</v>
      </c>
    </row>
    <row r="38" spans="5:18" ht="15.75" thickBot="1" x14ac:dyDescent="0.3">
      <c r="E38" s="264"/>
      <c r="F38" s="265"/>
      <c r="G38" s="129" t="s">
        <v>80</v>
      </c>
      <c r="H38" s="146"/>
      <c r="I38" s="155">
        <f t="shared" si="0"/>
        <v>0</v>
      </c>
      <c r="J38" s="130" t="s">
        <v>50</v>
      </c>
      <c r="K38" s="131" t="s">
        <v>86</v>
      </c>
      <c r="L38" s="146"/>
      <c r="M38" s="146"/>
      <c r="N38" s="156">
        <f t="shared" si="1"/>
        <v>0</v>
      </c>
      <c r="O38" s="130" t="s">
        <v>50</v>
      </c>
      <c r="P38" s="131" t="s">
        <v>93</v>
      </c>
      <c r="Q38" s="154"/>
      <c r="R38" s="130" t="s">
        <v>50</v>
      </c>
    </row>
    <row r="39" spans="5:18" ht="15.75" thickBot="1" x14ac:dyDescent="0.3">
      <c r="E39" s="266"/>
      <c r="F39" s="267"/>
      <c r="G39" s="148"/>
      <c r="H39" s="149" t="s">
        <v>190</v>
      </c>
      <c r="I39" s="150">
        <f>SUM(I33:I38)</f>
        <v>4188.7902047863909</v>
      </c>
      <c r="J39" s="151" t="s">
        <v>50</v>
      </c>
      <c r="K39" s="134"/>
      <c r="L39" s="132"/>
      <c r="M39" s="149" t="s">
        <v>190</v>
      </c>
      <c r="N39" s="153">
        <f>SUM(N33:N38)</f>
        <v>502.6548245743669</v>
      </c>
      <c r="O39" s="151" t="s">
        <v>50</v>
      </c>
      <c r="P39" s="149" t="s">
        <v>190</v>
      </c>
      <c r="Q39" s="150">
        <f>SUM(Q33:Q38)</f>
        <v>150</v>
      </c>
      <c r="R39" s="152" t="s">
        <v>50</v>
      </c>
    </row>
    <row r="41" spans="5:18" x14ac:dyDescent="0.25">
      <c r="G41" s="281" t="s">
        <v>191</v>
      </c>
      <c r="H41" s="158" t="s">
        <v>87</v>
      </c>
      <c r="I41" s="159" t="s">
        <v>183</v>
      </c>
    </row>
    <row r="42" spans="5:18" x14ac:dyDescent="0.25">
      <c r="G42" s="282"/>
      <c r="H42" s="160">
        <v>33510</v>
      </c>
      <c r="I42" s="157">
        <f>POWER((3*H42/(4*PI())),1/3)</f>
        <v>19.99993601189037</v>
      </c>
    </row>
  </sheetData>
  <sheetProtection sheet="1" objects="1" scenarios="1"/>
  <mergeCells count="16">
    <mergeCell ref="G41:G42"/>
    <mergeCell ref="R29:R30"/>
    <mergeCell ref="G29:H30"/>
    <mergeCell ref="I29:I30"/>
    <mergeCell ref="J29:J30"/>
    <mergeCell ref="L29:M30"/>
    <mergeCell ref="N29:N30"/>
    <mergeCell ref="E32:F39"/>
    <mergeCell ref="N11:P12"/>
    <mergeCell ref="Q11:S12"/>
    <mergeCell ref="N13:P13"/>
    <mergeCell ref="N14:P14"/>
    <mergeCell ref="Q13:S14"/>
    <mergeCell ref="O29:O30"/>
    <mergeCell ref="P29:Q30"/>
    <mergeCell ref="S29:S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CI98"/>
  <sheetViews>
    <sheetView showGridLines="0" showRowColHeaders="0" tabSelected="1" zoomScale="85" zoomScaleNormal="85" zoomScaleSheetLayoutView="100" workbookViewId="0">
      <selection activeCell="X15" sqref="X15"/>
    </sheetView>
  </sheetViews>
  <sheetFormatPr baseColWidth="10" defaultRowHeight="12.75" x14ac:dyDescent="0.25"/>
  <cols>
    <col min="1" max="1" width="4.28515625" style="119" customWidth="1"/>
    <col min="2" max="2" width="28.5703125" style="1" customWidth="1"/>
    <col min="3" max="3" width="0.28515625" style="12" customWidth="1"/>
    <col min="4" max="4" width="11.42578125" style="2" customWidth="1"/>
    <col min="5" max="5" width="11.42578125" style="2"/>
    <col min="6" max="7" width="0.28515625" style="2" customWidth="1"/>
    <col min="8" max="9" width="11.42578125" style="2"/>
    <col min="10" max="11" width="11.42578125" style="2" customWidth="1"/>
    <col min="12" max="12" width="0.28515625" style="2" customWidth="1"/>
    <col min="13" max="14" width="11.42578125" style="2" customWidth="1"/>
    <col min="15" max="15" width="0.28515625" style="2" customWidth="1"/>
    <col min="16" max="16" width="11.42578125" style="1" customWidth="1"/>
    <col min="17" max="17" width="4.28515625" style="12" customWidth="1"/>
    <col min="18" max="18" width="11.42578125" style="2" customWidth="1"/>
    <col min="19" max="19" width="14.42578125" style="2" customWidth="1"/>
    <col min="20" max="20" width="14.7109375" style="2" customWidth="1"/>
    <col min="21" max="21" width="3" style="2" customWidth="1"/>
    <col min="22" max="22" width="14.7109375" style="2" customWidth="1"/>
    <col min="23" max="23" width="11.42578125" style="5" customWidth="1"/>
    <col min="24" max="28" width="11.42578125" style="84" customWidth="1"/>
    <col min="29" max="29" width="5.5703125" style="84" customWidth="1"/>
    <col min="30" max="30" width="11.42578125" style="218"/>
    <col min="31" max="31" width="11.7109375" style="84" bestFit="1" customWidth="1"/>
    <col min="32" max="54" width="11.42578125" style="84"/>
    <col min="55" max="87" width="11.42578125" style="21"/>
    <col min="88" max="16384" width="11.42578125" style="2"/>
  </cols>
  <sheetData>
    <row r="1" spans="1:85" ht="42.75" customHeight="1" thickBot="1" x14ac:dyDescent="0.3">
      <c r="B1" s="331" t="s">
        <v>213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197" t="s">
        <v>259</v>
      </c>
      <c r="Z1" s="84" t="s">
        <v>223</v>
      </c>
    </row>
    <row r="2" spans="1:85" x14ac:dyDescent="0.25">
      <c r="A2" s="116"/>
      <c r="B2" s="344" t="s">
        <v>199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6"/>
      <c r="Z2" s="84" t="s">
        <v>228</v>
      </c>
    </row>
    <row r="3" spans="1:85" x14ac:dyDescent="0.25">
      <c r="A3" s="115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9"/>
    </row>
    <row r="4" spans="1:85" ht="2.1" customHeight="1" thickBot="1" x14ac:dyDescent="0.3">
      <c r="A4" s="115"/>
      <c r="B4" s="350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2"/>
    </row>
    <row r="5" spans="1:85" ht="24.95" customHeight="1" x14ac:dyDescent="0.3">
      <c r="A5" s="115"/>
      <c r="B5" s="353" t="s">
        <v>206</v>
      </c>
      <c r="C5" s="354"/>
      <c r="D5" s="354"/>
      <c r="E5" s="354"/>
      <c r="F5" s="354"/>
      <c r="G5" s="354"/>
      <c r="H5" s="354"/>
      <c r="I5" s="5"/>
      <c r="J5" s="353" t="s">
        <v>207</v>
      </c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5"/>
    </row>
    <row r="6" spans="1:85" ht="6.95" customHeight="1" x14ac:dyDescent="0.25">
      <c r="A6" s="115"/>
      <c r="B6" s="16"/>
      <c r="C6" s="13"/>
      <c r="D6" s="13"/>
      <c r="E6" s="13"/>
      <c r="F6" s="13"/>
      <c r="G6" s="13"/>
      <c r="H6" s="13"/>
      <c r="I6" s="5"/>
      <c r="J6" s="28"/>
      <c r="K6" s="5"/>
      <c r="L6" s="5"/>
      <c r="M6" s="5"/>
      <c r="N6" s="5"/>
      <c r="O6" s="5"/>
      <c r="P6" s="209"/>
      <c r="Q6" s="209"/>
      <c r="R6" s="5"/>
      <c r="S6" s="5"/>
      <c r="T6" s="5"/>
      <c r="U6" s="5"/>
      <c r="V6" s="15"/>
    </row>
    <row r="7" spans="1:85" ht="24.95" customHeight="1" x14ac:dyDescent="0.25">
      <c r="A7" s="117">
        <v>1</v>
      </c>
      <c r="B7" s="208" t="s">
        <v>0</v>
      </c>
      <c r="C7" s="209"/>
      <c r="D7" s="356" t="s">
        <v>31</v>
      </c>
      <c r="E7" s="357"/>
      <c r="F7" s="19"/>
      <c r="G7" s="19"/>
      <c r="H7" s="360" t="str">
        <f>IF(D7="autre","RENSEIGNEZ VALEURS DANS L'OGLET Bd","")</f>
        <v/>
      </c>
      <c r="I7" s="361"/>
      <c r="J7" s="358"/>
      <c r="K7" s="359"/>
      <c r="L7" s="209"/>
      <c r="M7" s="5"/>
      <c r="N7" s="5"/>
      <c r="O7" s="43"/>
      <c r="P7" s="209"/>
      <c r="Q7" s="113">
        <v>11</v>
      </c>
      <c r="R7" s="320" t="s">
        <v>245</v>
      </c>
      <c r="S7" s="321"/>
      <c r="T7" s="362" t="s">
        <v>260</v>
      </c>
      <c r="U7" s="363"/>
      <c r="V7" s="364"/>
      <c r="AD7" s="84"/>
      <c r="AE7" s="84">
        <f>HLOOKUP((ROUNDDOWN(AE9,0)),Indice!B1:AE13,2,TRUE)</f>
        <v>30</v>
      </c>
      <c r="AF7" s="212" t="s">
        <v>229</v>
      </c>
      <c r="AG7" s="212" t="s">
        <v>57</v>
      </c>
    </row>
    <row r="8" spans="1:85" ht="2.1" customHeight="1" x14ac:dyDescent="0.25">
      <c r="A8" s="117"/>
      <c r="B8" s="208"/>
      <c r="C8" s="209"/>
      <c r="D8" s="5"/>
      <c r="E8" s="5"/>
      <c r="F8" s="5"/>
      <c r="G8" s="5"/>
      <c r="H8" s="5"/>
      <c r="I8" s="5"/>
      <c r="J8" s="28"/>
      <c r="K8" s="5"/>
      <c r="L8" s="5"/>
      <c r="M8" s="5"/>
      <c r="N8" s="5"/>
      <c r="O8" s="5"/>
      <c r="P8" s="209"/>
      <c r="Q8" s="113"/>
      <c r="R8" s="5"/>
      <c r="S8" s="208"/>
      <c r="T8" s="209"/>
      <c r="U8" s="209"/>
      <c r="V8" s="15"/>
      <c r="AC8" s="219"/>
      <c r="AF8" s="212"/>
      <c r="AG8" s="212"/>
    </row>
    <row r="9" spans="1:85" ht="24.95" customHeight="1" thickBot="1" x14ac:dyDescent="0.25">
      <c r="A9" s="117">
        <v>2</v>
      </c>
      <c r="B9" s="208" t="s">
        <v>1</v>
      </c>
      <c r="C9" s="209"/>
      <c r="D9" s="175">
        <v>1.0149999999999999</v>
      </c>
      <c r="E9" s="5" t="s">
        <v>2</v>
      </c>
      <c r="F9" s="5"/>
      <c r="G9" s="5"/>
      <c r="H9" s="83">
        <f>D9*100000</f>
        <v>101499.99999999999</v>
      </c>
      <c r="I9" s="84" t="s">
        <v>61</v>
      </c>
      <c r="J9" s="324" t="s">
        <v>111</v>
      </c>
      <c r="K9" s="325"/>
      <c r="L9" s="209"/>
      <c r="M9" s="44"/>
      <c r="N9" s="24"/>
      <c r="O9" s="24"/>
      <c r="P9" s="24"/>
      <c r="Q9" s="114">
        <v>12</v>
      </c>
      <c r="R9" s="320" t="s">
        <v>194</v>
      </c>
      <c r="S9" s="328"/>
      <c r="T9" s="176">
        <v>20000000</v>
      </c>
      <c r="U9" s="5" t="s">
        <v>50</v>
      </c>
      <c r="V9" s="15"/>
      <c r="AD9" s="220" t="s">
        <v>55</v>
      </c>
      <c r="AE9" s="84">
        <f>(POWER((3*T17/(PI()*2)),1/3))</f>
        <v>133.57468353830845</v>
      </c>
      <c r="AF9" s="212">
        <f>POWER((E55*1000000)/(H9),1/3)</f>
        <v>554.13261264608752</v>
      </c>
      <c r="AG9" s="221">
        <f>D37/AF9</f>
        <v>0.23460088259239162</v>
      </c>
      <c r="AJ9" s="84">
        <v>1</v>
      </c>
      <c r="AK9" s="84">
        <v>2</v>
      </c>
      <c r="AL9" s="84">
        <v>3</v>
      </c>
      <c r="AM9" s="84">
        <v>4</v>
      </c>
      <c r="AN9" s="84">
        <v>5</v>
      </c>
      <c r="AO9" s="84">
        <v>6</v>
      </c>
      <c r="AP9" s="84">
        <v>7</v>
      </c>
      <c r="AQ9" s="84">
        <v>8</v>
      </c>
      <c r="AR9" s="84">
        <v>9</v>
      </c>
      <c r="AS9" s="84">
        <v>10</v>
      </c>
      <c r="AT9" s="84">
        <v>11</v>
      </c>
      <c r="AU9" s="84">
        <v>12</v>
      </c>
      <c r="AV9" s="84">
        <v>13</v>
      </c>
      <c r="AW9" s="84">
        <v>14</v>
      </c>
      <c r="AX9" s="84">
        <v>15</v>
      </c>
      <c r="AY9" s="84">
        <v>16</v>
      </c>
      <c r="AZ9" s="84">
        <v>17</v>
      </c>
      <c r="BA9" s="84">
        <v>18</v>
      </c>
      <c r="BB9" s="84">
        <v>19</v>
      </c>
      <c r="BC9" s="21">
        <v>20</v>
      </c>
      <c r="BD9" s="21">
        <v>21</v>
      </c>
      <c r="BE9" s="21">
        <v>22</v>
      </c>
      <c r="BF9" s="21">
        <v>23</v>
      </c>
      <c r="BG9" s="21">
        <v>24</v>
      </c>
      <c r="BH9" s="21">
        <v>25</v>
      </c>
      <c r="BI9" s="21">
        <v>26</v>
      </c>
      <c r="BJ9" s="21">
        <v>27</v>
      </c>
      <c r="BK9" s="21">
        <v>28</v>
      </c>
      <c r="BL9" s="21">
        <v>29</v>
      </c>
      <c r="BM9" s="21">
        <v>30</v>
      </c>
      <c r="BN9" s="21">
        <v>31</v>
      </c>
      <c r="BO9" s="21">
        <v>32</v>
      </c>
      <c r="BP9" s="21">
        <v>33</v>
      </c>
      <c r="BQ9" s="21">
        <v>34</v>
      </c>
      <c r="BR9" s="21">
        <v>35</v>
      </c>
      <c r="BS9" s="21">
        <v>36</v>
      </c>
      <c r="BT9" s="21">
        <v>37</v>
      </c>
      <c r="BU9" s="21">
        <v>38</v>
      </c>
      <c r="BV9" s="21">
        <v>39</v>
      </c>
      <c r="BW9" s="21">
        <v>40</v>
      </c>
      <c r="BX9" s="21">
        <v>41</v>
      </c>
      <c r="BY9" s="21">
        <v>42</v>
      </c>
      <c r="BZ9" s="21">
        <v>43</v>
      </c>
      <c r="CA9" s="21">
        <v>44</v>
      </c>
      <c r="CB9" s="21">
        <v>45</v>
      </c>
      <c r="CC9" s="21">
        <v>46</v>
      </c>
      <c r="CD9" s="21">
        <v>47</v>
      </c>
      <c r="CE9" s="21">
        <v>48</v>
      </c>
      <c r="CF9" s="21">
        <v>49</v>
      </c>
      <c r="CG9" s="21">
        <v>50</v>
      </c>
    </row>
    <row r="10" spans="1:85" ht="2.1" customHeight="1" x14ac:dyDescent="0.25">
      <c r="A10" s="117"/>
      <c r="B10" s="208"/>
      <c r="C10" s="209"/>
      <c r="D10" s="14"/>
      <c r="E10" s="5"/>
      <c r="F10" s="5"/>
      <c r="G10" s="5"/>
      <c r="H10" s="5"/>
      <c r="I10" s="5"/>
      <c r="J10" s="28"/>
      <c r="K10" s="209"/>
      <c r="L10" s="37"/>
      <c r="M10" s="39"/>
      <c r="N10" s="39"/>
      <c r="O10" s="35"/>
      <c r="P10" s="24"/>
      <c r="Q10" s="114"/>
      <c r="R10" s="205"/>
      <c r="S10" s="210"/>
      <c r="T10" s="5" t="s">
        <v>231</v>
      </c>
      <c r="U10" s="5"/>
      <c r="V10" s="15"/>
    </row>
    <row r="11" spans="1:85" ht="24.95" customHeight="1" x14ac:dyDescent="0.25">
      <c r="A11" s="117">
        <v>3</v>
      </c>
      <c r="B11" s="208" t="s">
        <v>65</v>
      </c>
      <c r="C11" s="209"/>
      <c r="D11" s="175">
        <v>9</v>
      </c>
      <c r="E11" s="5" t="s">
        <v>66</v>
      </c>
      <c r="F11" s="5"/>
      <c r="G11" s="5"/>
      <c r="H11" s="5"/>
      <c r="I11" s="5"/>
      <c r="J11" s="75">
        <f>IF($T$7="recouvre totalement la zone encombrée",1,IF($T$7="recouvre partiellement la zone encombrée",2,IF($T$7="est en zone libre d'obstacles",3,4)))</f>
        <v>4</v>
      </c>
      <c r="K11" s="76">
        <f>IF($T$7="recouvre totalement la zone encombrée",1,IF($T$7="recouvre partiellement la zone encombrée",2,IF($T$7="est en zone libre d'obstacles",3,4)))</f>
        <v>4</v>
      </c>
      <c r="L11" s="208"/>
      <c r="M11" s="41">
        <f>IF($T$7="recouvre totalement la zone encombrée",1,IF($T$7="recouvre partiellement la zone encombrée",2,IF($T$7="est en zone libre d'obstacles",3,4)))</f>
        <v>4</v>
      </c>
      <c r="N11" s="251">
        <f>IF($T$7="recouvre totalement la zone encombrée",1,IF($T$7="recouvre partiellement la zone encombrée",2,IF($T$7="est en zone libre d'obstacles",3,4)))</f>
        <v>4</v>
      </c>
      <c r="O11" s="72"/>
      <c r="P11" s="323" t="s">
        <v>109</v>
      </c>
      <c r="Q11" s="113">
        <v>13</v>
      </c>
      <c r="R11" s="320" t="s">
        <v>195</v>
      </c>
      <c r="S11" s="328"/>
      <c r="T11" s="176">
        <v>34000</v>
      </c>
      <c r="U11" s="5" t="s">
        <v>50</v>
      </c>
      <c r="V11" s="215" t="s">
        <v>225</v>
      </c>
      <c r="AD11" s="218" t="s">
        <v>70</v>
      </c>
      <c r="AE11" s="84">
        <f>B43/1000</f>
        <v>0.02</v>
      </c>
      <c r="AF11" s="212" t="e">
        <f>POWER((E57*1000000)/(H9),1/3)</f>
        <v>#VALUE!</v>
      </c>
      <c r="AG11" s="221" t="e">
        <f>D37/AF11</f>
        <v>#VALUE!</v>
      </c>
      <c r="AI11" s="84" t="str">
        <f>B45</f>
        <v>SEI  :     50 mbar</v>
      </c>
      <c r="AJ11" s="222">
        <f t="shared" ref="AJ11:BO11" si="0">$D$45</f>
        <v>3330</v>
      </c>
      <c r="AK11" s="222">
        <f t="shared" si="0"/>
        <v>3330</v>
      </c>
      <c r="AL11" s="222">
        <f t="shared" si="0"/>
        <v>3330</v>
      </c>
      <c r="AM11" s="222">
        <f t="shared" si="0"/>
        <v>3330</v>
      </c>
      <c r="AN11" s="222">
        <f t="shared" si="0"/>
        <v>3330</v>
      </c>
      <c r="AO11" s="222">
        <f t="shared" si="0"/>
        <v>3330</v>
      </c>
      <c r="AP11" s="222">
        <f t="shared" si="0"/>
        <v>3330</v>
      </c>
      <c r="AQ11" s="222">
        <f t="shared" si="0"/>
        <v>3330</v>
      </c>
      <c r="AR11" s="222">
        <f t="shared" si="0"/>
        <v>3330</v>
      </c>
      <c r="AS11" s="222">
        <f t="shared" si="0"/>
        <v>3330</v>
      </c>
      <c r="AT11" s="222">
        <f t="shared" si="0"/>
        <v>3330</v>
      </c>
      <c r="AU11" s="222">
        <f t="shared" si="0"/>
        <v>3330</v>
      </c>
      <c r="AV11" s="222">
        <f t="shared" si="0"/>
        <v>3330</v>
      </c>
      <c r="AW11" s="222">
        <f t="shared" si="0"/>
        <v>3330</v>
      </c>
      <c r="AX11" s="222">
        <f t="shared" si="0"/>
        <v>3330</v>
      </c>
      <c r="AY11" s="222">
        <f t="shared" si="0"/>
        <v>3330</v>
      </c>
      <c r="AZ11" s="222">
        <f t="shared" si="0"/>
        <v>3330</v>
      </c>
      <c r="BA11" s="222">
        <f t="shared" si="0"/>
        <v>3330</v>
      </c>
      <c r="BB11" s="222">
        <f t="shared" si="0"/>
        <v>3330</v>
      </c>
      <c r="BC11" s="22">
        <f t="shared" si="0"/>
        <v>3330</v>
      </c>
      <c r="BD11" s="22">
        <f t="shared" si="0"/>
        <v>3330</v>
      </c>
      <c r="BE11" s="22">
        <f t="shared" si="0"/>
        <v>3330</v>
      </c>
      <c r="BF11" s="22">
        <f t="shared" si="0"/>
        <v>3330</v>
      </c>
      <c r="BG11" s="22">
        <f t="shared" si="0"/>
        <v>3330</v>
      </c>
      <c r="BH11" s="22">
        <f t="shared" si="0"/>
        <v>3330</v>
      </c>
      <c r="BI11" s="22">
        <f t="shared" si="0"/>
        <v>3330</v>
      </c>
      <c r="BJ11" s="22">
        <f t="shared" si="0"/>
        <v>3330</v>
      </c>
      <c r="BK11" s="22">
        <f t="shared" si="0"/>
        <v>3330</v>
      </c>
      <c r="BL11" s="22">
        <f t="shared" si="0"/>
        <v>3330</v>
      </c>
      <c r="BM11" s="22">
        <f t="shared" si="0"/>
        <v>3330</v>
      </c>
      <c r="BN11" s="22">
        <f t="shared" si="0"/>
        <v>3330</v>
      </c>
      <c r="BO11" s="22">
        <f t="shared" si="0"/>
        <v>3330</v>
      </c>
      <c r="BP11" s="22">
        <f t="shared" ref="BP11:CG11" si="1">$D$45</f>
        <v>3330</v>
      </c>
      <c r="BQ11" s="22">
        <f t="shared" si="1"/>
        <v>3330</v>
      </c>
      <c r="BR11" s="22">
        <f t="shared" si="1"/>
        <v>3330</v>
      </c>
      <c r="BS11" s="22">
        <f t="shared" si="1"/>
        <v>3330</v>
      </c>
      <c r="BT11" s="22">
        <f t="shared" si="1"/>
        <v>3330</v>
      </c>
      <c r="BU11" s="22">
        <f t="shared" si="1"/>
        <v>3330</v>
      </c>
      <c r="BV11" s="22">
        <f t="shared" si="1"/>
        <v>3330</v>
      </c>
      <c r="BW11" s="22">
        <f t="shared" si="1"/>
        <v>3330</v>
      </c>
      <c r="BX11" s="22">
        <f t="shared" si="1"/>
        <v>3330</v>
      </c>
      <c r="BY11" s="22">
        <f t="shared" si="1"/>
        <v>3330</v>
      </c>
      <c r="BZ11" s="22">
        <f t="shared" si="1"/>
        <v>3330</v>
      </c>
      <c r="CA11" s="22">
        <f t="shared" si="1"/>
        <v>3330</v>
      </c>
      <c r="CB11" s="22">
        <f t="shared" si="1"/>
        <v>3330</v>
      </c>
      <c r="CC11" s="22">
        <f t="shared" si="1"/>
        <v>3330</v>
      </c>
      <c r="CD11" s="22">
        <f t="shared" si="1"/>
        <v>3330</v>
      </c>
      <c r="CE11" s="22">
        <f t="shared" si="1"/>
        <v>3330</v>
      </c>
      <c r="CF11" s="22">
        <f t="shared" si="1"/>
        <v>3330</v>
      </c>
      <c r="CG11" s="22">
        <f t="shared" si="1"/>
        <v>3330</v>
      </c>
    </row>
    <row r="12" spans="1:85" ht="2.1" customHeight="1" x14ac:dyDescent="0.25">
      <c r="A12" s="117"/>
      <c r="B12" s="208"/>
      <c r="C12" s="209"/>
      <c r="D12" s="14"/>
      <c r="E12" s="5"/>
      <c r="F12" s="5"/>
      <c r="G12" s="5"/>
      <c r="H12" s="5"/>
      <c r="I12" s="5"/>
      <c r="J12" s="75">
        <f t="shared" ref="J12:K18" si="2">IF($T$7="recouvre totalement la zone encombrée",1,IF($T$7="recouvre partiellement la zone encombrée",2,IF($T$7="est en zone libre d'obstacles",3,4)))</f>
        <v>4</v>
      </c>
      <c r="K12" s="76">
        <f t="shared" si="2"/>
        <v>4</v>
      </c>
      <c r="L12" s="208"/>
      <c r="M12" s="42">
        <f t="shared" ref="M12:N17" si="3">IF($T$7="recouvre totalement la zone encombrée",1,IF($T$7="recouvre partiellement la zone encombrée",2,IF($T$7="est en zone libre d'obstacles",3,4)))</f>
        <v>4</v>
      </c>
      <c r="N12" s="252">
        <f t="shared" si="3"/>
        <v>4</v>
      </c>
      <c r="O12" s="72"/>
      <c r="P12" s="323"/>
      <c r="Q12" s="113"/>
      <c r="R12" s="205"/>
      <c r="S12" s="210"/>
      <c r="T12" s="5">
        <v>0</v>
      </c>
      <c r="U12" s="5"/>
      <c r="V12" s="15"/>
    </row>
    <row r="13" spans="1:85" ht="24.95" customHeight="1" x14ac:dyDescent="0.25">
      <c r="A13" s="117">
        <v>4</v>
      </c>
      <c r="B13" s="208" t="s">
        <v>221</v>
      </c>
      <c r="C13" s="209"/>
      <c r="D13" s="176">
        <v>1000</v>
      </c>
      <c r="E13" s="5" t="s">
        <v>3</v>
      </c>
      <c r="F13" s="5"/>
      <c r="G13" s="5"/>
      <c r="H13" s="5"/>
      <c r="I13" s="5"/>
      <c r="J13" s="75">
        <f t="shared" si="2"/>
        <v>4</v>
      </c>
      <c r="K13" s="76">
        <f t="shared" si="2"/>
        <v>4</v>
      </c>
      <c r="L13" s="208"/>
      <c r="M13" s="42">
        <f t="shared" si="3"/>
        <v>4</v>
      </c>
      <c r="N13" s="252">
        <f t="shared" si="3"/>
        <v>4</v>
      </c>
      <c r="O13" s="72"/>
      <c r="P13" s="323"/>
      <c r="Q13" s="113">
        <v>14</v>
      </c>
      <c r="R13" s="320" t="s">
        <v>193</v>
      </c>
      <c r="S13" s="322"/>
      <c r="T13" s="161">
        <f>T9-T11</f>
        <v>19966000</v>
      </c>
      <c r="U13" s="5" t="s">
        <v>50</v>
      </c>
      <c r="V13" s="15"/>
      <c r="AD13" s="84"/>
      <c r="AE13" s="84" t="e">
        <f>HLOOKUP(AE11,Indice!B2:AE13,2,TRUE)</f>
        <v>#N/A</v>
      </c>
      <c r="AG13" s="84" t="s">
        <v>68</v>
      </c>
      <c r="AH13" s="223">
        <f>T17</f>
        <v>4991500</v>
      </c>
      <c r="AI13" s="222" t="str">
        <f>B47</f>
        <v>SEL  :   140 mbar</v>
      </c>
      <c r="AJ13" s="222">
        <f t="shared" ref="AJ13:BO13" si="4">$D$47</f>
        <v>1670</v>
      </c>
      <c r="AK13" s="222">
        <f t="shared" si="4"/>
        <v>1670</v>
      </c>
      <c r="AL13" s="222">
        <f t="shared" si="4"/>
        <v>1670</v>
      </c>
      <c r="AM13" s="222">
        <f t="shared" si="4"/>
        <v>1670</v>
      </c>
      <c r="AN13" s="222">
        <f t="shared" si="4"/>
        <v>1670</v>
      </c>
      <c r="AO13" s="222">
        <f t="shared" si="4"/>
        <v>1670</v>
      </c>
      <c r="AP13" s="222">
        <f t="shared" si="4"/>
        <v>1670</v>
      </c>
      <c r="AQ13" s="222">
        <f t="shared" si="4"/>
        <v>1670</v>
      </c>
      <c r="AR13" s="222">
        <f t="shared" si="4"/>
        <v>1670</v>
      </c>
      <c r="AS13" s="222">
        <f t="shared" si="4"/>
        <v>1670</v>
      </c>
      <c r="AT13" s="222">
        <f t="shared" si="4"/>
        <v>1670</v>
      </c>
      <c r="AU13" s="222">
        <f t="shared" si="4"/>
        <v>1670</v>
      </c>
      <c r="AV13" s="222">
        <f t="shared" si="4"/>
        <v>1670</v>
      </c>
      <c r="AW13" s="222">
        <f t="shared" si="4"/>
        <v>1670</v>
      </c>
      <c r="AX13" s="222">
        <f t="shared" si="4"/>
        <v>1670</v>
      </c>
      <c r="AY13" s="222">
        <f t="shared" si="4"/>
        <v>1670</v>
      </c>
      <c r="AZ13" s="222">
        <f t="shared" si="4"/>
        <v>1670</v>
      </c>
      <c r="BA13" s="222">
        <f t="shared" si="4"/>
        <v>1670</v>
      </c>
      <c r="BB13" s="222">
        <f t="shared" si="4"/>
        <v>1670</v>
      </c>
      <c r="BC13" s="22">
        <f t="shared" si="4"/>
        <v>1670</v>
      </c>
      <c r="BD13" s="22">
        <f t="shared" si="4"/>
        <v>1670</v>
      </c>
      <c r="BE13" s="22">
        <f t="shared" si="4"/>
        <v>1670</v>
      </c>
      <c r="BF13" s="22">
        <f t="shared" si="4"/>
        <v>1670</v>
      </c>
      <c r="BG13" s="22">
        <f t="shared" si="4"/>
        <v>1670</v>
      </c>
      <c r="BH13" s="22">
        <f t="shared" si="4"/>
        <v>1670</v>
      </c>
      <c r="BI13" s="22">
        <f t="shared" si="4"/>
        <v>1670</v>
      </c>
      <c r="BJ13" s="22">
        <f t="shared" si="4"/>
        <v>1670</v>
      </c>
      <c r="BK13" s="22">
        <f t="shared" si="4"/>
        <v>1670</v>
      </c>
      <c r="BL13" s="22">
        <f t="shared" si="4"/>
        <v>1670</v>
      </c>
      <c r="BM13" s="22">
        <f t="shared" si="4"/>
        <v>1670</v>
      </c>
      <c r="BN13" s="22">
        <f t="shared" si="4"/>
        <v>1670</v>
      </c>
      <c r="BO13" s="22">
        <f t="shared" si="4"/>
        <v>1670</v>
      </c>
      <c r="BP13" s="22">
        <f t="shared" ref="BP13:CG13" si="5">$D$47</f>
        <v>1670</v>
      </c>
      <c r="BQ13" s="22">
        <f t="shared" si="5"/>
        <v>1670</v>
      </c>
      <c r="BR13" s="22">
        <f t="shared" si="5"/>
        <v>1670</v>
      </c>
      <c r="BS13" s="22">
        <f t="shared" si="5"/>
        <v>1670</v>
      </c>
      <c r="BT13" s="22">
        <f t="shared" si="5"/>
        <v>1670</v>
      </c>
      <c r="BU13" s="22">
        <f t="shared" si="5"/>
        <v>1670</v>
      </c>
      <c r="BV13" s="22">
        <f t="shared" si="5"/>
        <v>1670</v>
      </c>
      <c r="BW13" s="22">
        <f t="shared" si="5"/>
        <v>1670</v>
      </c>
      <c r="BX13" s="22">
        <f t="shared" si="5"/>
        <v>1670</v>
      </c>
      <c r="BY13" s="22">
        <f t="shared" si="5"/>
        <v>1670</v>
      </c>
      <c r="BZ13" s="22">
        <f t="shared" si="5"/>
        <v>1670</v>
      </c>
      <c r="CA13" s="22">
        <f t="shared" si="5"/>
        <v>1670</v>
      </c>
      <c r="CB13" s="22">
        <f t="shared" si="5"/>
        <v>1670</v>
      </c>
      <c r="CC13" s="22">
        <f t="shared" si="5"/>
        <v>1670</v>
      </c>
      <c r="CD13" s="22">
        <f t="shared" si="5"/>
        <v>1670</v>
      </c>
      <c r="CE13" s="22">
        <f t="shared" si="5"/>
        <v>1670</v>
      </c>
      <c r="CF13" s="22">
        <f t="shared" si="5"/>
        <v>1670</v>
      </c>
      <c r="CG13" s="22">
        <f t="shared" si="5"/>
        <v>1670</v>
      </c>
    </row>
    <row r="14" spans="1:85" ht="2.1" customHeight="1" x14ac:dyDescent="0.25">
      <c r="A14" s="117"/>
      <c r="B14" s="208"/>
      <c r="C14" s="209"/>
      <c r="D14" s="14"/>
      <c r="E14" s="5"/>
      <c r="F14" s="5"/>
      <c r="G14" s="5"/>
      <c r="H14" s="5"/>
      <c r="I14" s="5"/>
      <c r="J14" s="75">
        <f t="shared" si="2"/>
        <v>4</v>
      </c>
      <c r="K14" s="76">
        <f t="shared" si="2"/>
        <v>4</v>
      </c>
      <c r="L14" s="208"/>
      <c r="M14" s="42">
        <f t="shared" si="3"/>
        <v>4</v>
      </c>
      <c r="N14" s="252">
        <f t="shared" si="3"/>
        <v>4</v>
      </c>
      <c r="O14" s="72"/>
      <c r="P14" s="24"/>
      <c r="Q14" s="114"/>
      <c r="R14" s="205"/>
      <c r="S14" s="210"/>
      <c r="T14" s="5"/>
      <c r="U14" s="5"/>
      <c r="V14" s="15"/>
    </row>
    <row r="15" spans="1:85" ht="24.95" customHeight="1" x14ac:dyDescent="0.25">
      <c r="A15" s="117">
        <v>5</v>
      </c>
      <c r="B15" s="208" t="s">
        <v>202</v>
      </c>
      <c r="C15" s="209"/>
      <c r="D15" s="176">
        <v>95</v>
      </c>
      <c r="E15" s="5" t="s">
        <v>5</v>
      </c>
      <c r="F15" s="5"/>
      <c r="G15" s="5"/>
      <c r="H15" s="82"/>
      <c r="I15" s="19"/>
      <c r="J15" s="75">
        <f t="shared" si="2"/>
        <v>4</v>
      </c>
      <c r="K15" s="76">
        <f t="shared" si="2"/>
        <v>4</v>
      </c>
      <c r="L15" s="208"/>
      <c r="M15" s="253">
        <f t="shared" si="3"/>
        <v>4</v>
      </c>
      <c r="N15" s="254">
        <f t="shared" si="3"/>
        <v>4</v>
      </c>
      <c r="O15" s="72"/>
      <c r="P15" s="24"/>
      <c r="Q15" s="114">
        <v>15</v>
      </c>
      <c r="R15" s="320" t="s">
        <v>230</v>
      </c>
      <c r="S15" s="322"/>
      <c r="T15" s="162">
        <f>IF(T7=Bd!AA3,100,IF(T7=Bd!AA1,100,IF(T7=Bd!AA4,0,"à renseigner -&gt;")))</f>
        <v>100</v>
      </c>
      <c r="U15" s="5" t="s">
        <v>4</v>
      </c>
      <c r="V15" s="213">
        <v>0.25</v>
      </c>
      <c r="X15" s="82"/>
      <c r="AD15" s="220" t="s">
        <v>57</v>
      </c>
      <c r="AE15" s="84">
        <f>(POWER((3*D27/(PI()*2)),1/3))</f>
        <v>0</v>
      </c>
      <c r="AG15" s="84" t="s">
        <v>69</v>
      </c>
      <c r="AI15" s="84" t="str">
        <f>B49</f>
        <v>SELS  :   200 mbar</v>
      </c>
      <c r="AJ15" s="222">
        <f t="shared" ref="AJ15:BO15" si="6">$D$49</f>
        <v>1110</v>
      </c>
      <c r="AK15" s="222">
        <f t="shared" si="6"/>
        <v>1110</v>
      </c>
      <c r="AL15" s="222">
        <f t="shared" si="6"/>
        <v>1110</v>
      </c>
      <c r="AM15" s="222">
        <f t="shared" si="6"/>
        <v>1110</v>
      </c>
      <c r="AN15" s="222">
        <f t="shared" si="6"/>
        <v>1110</v>
      </c>
      <c r="AO15" s="222">
        <f t="shared" si="6"/>
        <v>1110</v>
      </c>
      <c r="AP15" s="222">
        <f t="shared" si="6"/>
        <v>1110</v>
      </c>
      <c r="AQ15" s="222">
        <f t="shared" si="6"/>
        <v>1110</v>
      </c>
      <c r="AR15" s="222">
        <f t="shared" si="6"/>
        <v>1110</v>
      </c>
      <c r="AS15" s="222">
        <f t="shared" si="6"/>
        <v>1110</v>
      </c>
      <c r="AT15" s="222">
        <f t="shared" si="6"/>
        <v>1110</v>
      </c>
      <c r="AU15" s="222">
        <f t="shared" si="6"/>
        <v>1110</v>
      </c>
      <c r="AV15" s="222">
        <f t="shared" si="6"/>
        <v>1110</v>
      </c>
      <c r="AW15" s="222">
        <f t="shared" si="6"/>
        <v>1110</v>
      </c>
      <c r="AX15" s="222">
        <f t="shared" si="6"/>
        <v>1110</v>
      </c>
      <c r="AY15" s="222">
        <f t="shared" si="6"/>
        <v>1110</v>
      </c>
      <c r="AZ15" s="222">
        <f t="shared" si="6"/>
        <v>1110</v>
      </c>
      <c r="BA15" s="222">
        <f t="shared" si="6"/>
        <v>1110</v>
      </c>
      <c r="BB15" s="222">
        <f t="shared" si="6"/>
        <v>1110</v>
      </c>
      <c r="BC15" s="22">
        <f t="shared" si="6"/>
        <v>1110</v>
      </c>
      <c r="BD15" s="22">
        <f t="shared" si="6"/>
        <v>1110</v>
      </c>
      <c r="BE15" s="22">
        <f t="shared" si="6"/>
        <v>1110</v>
      </c>
      <c r="BF15" s="22">
        <f t="shared" si="6"/>
        <v>1110</v>
      </c>
      <c r="BG15" s="22">
        <f t="shared" si="6"/>
        <v>1110</v>
      </c>
      <c r="BH15" s="22">
        <f t="shared" si="6"/>
        <v>1110</v>
      </c>
      <c r="BI15" s="22">
        <f t="shared" si="6"/>
        <v>1110</v>
      </c>
      <c r="BJ15" s="22">
        <f t="shared" si="6"/>
        <v>1110</v>
      </c>
      <c r="BK15" s="22">
        <f t="shared" si="6"/>
        <v>1110</v>
      </c>
      <c r="BL15" s="22">
        <f t="shared" si="6"/>
        <v>1110</v>
      </c>
      <c r="BM15" s="22">
        <f t="shared" si="6"/>
        <v>1110</v>
      </c>
      <c r="BN15" s="22">
        <f t="shared" si="6"/>
        <v>1110</v>
      </c>
      <c r="BO15" s="22">
        <f t="shared" si="6"/>
        <v>1110</v>
      </c>
      <c r="BP15" s="22">
        <f t="shared" ref="BP15:CG15" si="7">$D$49</f>
        <v>1110</v>
      </c>
      <c r="BQ15" s="22">
        <f t="shared" si="7"/>
        <v>1110</v>
      </c>
      <c r="BR15" s="22">
        <f t="shared" si="7"/>
        <v>1110</v>
      </c>
      <c r="BS15" s="22">
        <f t="shared" si="7"/>
        <v>1110</v>
      </c>
      <c r="BT15" s="22">
        <f t="shared" si="7"/>
        <v>1110</v>
      </c>
      <c r="BU15" s="22">
        <f t="shared" si="7"/>
        <v>1110</v>
      </c>
      <c r="BV15" s="22">
        <f t="shared" si="7"/>
        <v>1110</v>
      </c>
      <c r="BW15" s="22">
        <f t="shared" si="7"/>
        <v>1110</v>
      </c>
      <c r="BX15" s="22">
        <f t="shared" si="7"/>
        <v>1110</v>
      </c>
      <c r="BY15" s="22">
        <f t="shared" si="7"/>
        <v>1110</v>
      </c>
      <c r="BZ15" s="22">
        <f t="shared" si="7"/>
        <v>1110</v>
      </c>
      <c r="CA15" s="22">
        <f t="shared" si="7"/>
        <v>1110</v>
      </c>
      <c r="CB15" s="22">
        <f t="shared" si="7"/>
        <v>1110</v>
      </c>
      <c r="CC15" s="22">
        <f t="shared" si="7"/>
        <v>1110</v>
      </c>
      <c r="CD15" s="22">
        <f t="shared" si="7"/>
        <v>1110</v>
      </c>
      <c r="CE15" s="22">
        <f t="shared" si="7"/>
        <v>1110</v>
      </c>
      <c r="CF15" s="22">
        <f t="shared" si="7"/>
        <v>1110</v>
      </c>
      <c r="CG15" s="22">
        <f t="shared" si="7"/>
        <v>1110</v>
      </c>
    </row>
    <row r="16" spans="1:85" ht="2.1" customHeight="1" x14ac:dyDescent="0.25">
      <c r="A16" s="117"/>
      <c r="B16" s="208"/>
      <c r="C16" s="209"/>
      <c r="D16" s="5"/>
      <c r="E16" s="5"/>
      <c r="F16" s="5"/>
      <c r="G16" s="5"/>
      <c r="H16" s="5"/>
      <c r="I16" s="5"/>
      <c r="J16" s="75">
        <f t="shared" si="2"/>
        <v>4</v>
      </c>
      <c r="K16" s="76">
        <f t="shared" si="2"/>
        <v>4</v>
      </c>
      <c r="L16" s="208"/>
      <c r="M16" s="253">
        <f t="shared" si="3"/>
        <v>4</v>
      </c>
      <c r="N16" s="254">
        <f t="shared" si="3"/>
        <v>4</v>
      </c>
      <c r="O16" s="72"/>
      <c r="P16" s="24"/>
      <c r="Q16" s="114"/>
      <c r="R16" s="78"/>
      <c r="S16" s="77"/>
      <c r="T16" s="5"/>
      <c r="U16" s="5"/>
      <c r="V16" s="15"/>
    </row>
    <row r="17" spans="1:85" ht="24.95" customHeight="1" x14ac:dyDescent="0.25">
      <c r="A17" s="117">
        <v>6</v>
      </c>
      <c r="B17" s="208" t="s">
        <v>53</v>
      </c>
      <c r="C17" s="209"/>
      <c r="D17" s="63">
        <f>VLOOKUP(D7,Bd!A1:L49,6)</f>
        <v>4</v>
      </c>
      <c r="E17" s="5" t="s">
        <v>4</v>
      </c>
      <c r="F17" s="5"/>
      <c r="G17" s="5"/>
      <c r="H17" s="5"/>
      <c r="I17" s="5"/>
      <c r="J17" s="75">
        <f t="shared" si="2"/>
        <v>4</v>
      </c>
      <c r="K17" s="76">
        <f t="shared" si="2"/>
        <v>4</v>
      </c>
      <c r="L17" s="208"/>
      <c r="M17" s="253">
        <f t="shared" si="3"/>
        <v>4</v>
      </c>
      <c r="N17" s="254">
        <f t="shared" si="3"/>
        <v>4</v>
      </c>
      <c r="O17" s="72"/>
      <c r="P17" s="24"/>
      <c r="Q17" s="114">
        <v>16</v>
      </c>
      <c r="R17" s="320" t="s">
        <v>100</v>
      </c>
      <c r="S17" s="322"/>
      <c r="T17" s="73">
        <f>IF(OR(T7="totalement la zone encombrée",T7="une partie à L'INTERIEUR de la zone encombrée",T7="une ZONE LIBRE d'obstacles"),IF(T13*T15/100&gt;D21,D21,T13*T15/100),T13*V15)</f>
        <v>4991500</v>
      </c>
      <c r="U17" s="5" t="s">
        <v>50</v>
      </c>
      <c r="V17" s="15"/>
      <c r="AF17" s="84" t="s">
        <v>56</v>
      </c>
      <c r="AI17" s="84">
        <f>B43</f>
        <v>20</v>
      </c>
      <c r="AJ17" s="222">
        <f t="shared" ref="AJ17:BO17" si="8">$D$43</f>
        <v>11090</v>
      </c>
      <c r="AK17" s="222">
        <f t="shared" si="8"/>
        <v>11090</v>
      </c>
      <c r="AL17" s="222">
        <f t="shared" si="8"/>
        <v>11090</v>
      </c>
      <c r="AM17" s="222">
        <f t="shared" si="8"/>
        <v>11090</v>
      </c>
      <c r="AN17" s="222">
        <f t="shared" si="8"/>
        <v>11090</v>
      </c>
      <c r="AO17" s="222">
        <f t="shared" si="8"/>
        <v>11090</v>
      </c>
      <c r="AP17" s="222">
        <f t="shared" si="8"/>
        <v>11090</v>
      </c>
      <c r="AQ17" s="222">
        <f t="shared" si="8"/>
        <v>11090</v>
      </c>
      <c r="AR17" s="222">
        <f t="shared" si="8"/>
        <v>11090</v>
      </c>
      <c r="AS17" s="222">
        <f t="shared" si="8"/>
        <v>11090</v>
      </c>
      <c r="AT17" s="222">
        <f t="shared" si="8"/>
        <v>11090</v>
      </c>
      <c r="AU17" s="222">
        <f t="shared" si="8"/>
        <v>11090</v>
      </c>
      <c r="AV17" s="222">
        <f t="shared" si="8"/>
        <v>11090</v>
      </c>
      <c r="AW17" s="222">
        <f t="shared" si="8"/>
        <v>11090</v>
      </c>
      <c r="AX17" s="222">
        <f t="shared" si="8"/>
        <v>11090</v>
      </c>
      <c r="AY17" s="222">
        <f t="shared" si="8"/>
        <v>11090</v>
      </c>
      <c r="AZ17" s="222">
        <f t="shared" si="8"/>
        <v>11090</v>
      </c>
      <c r="BA17" s="222">
        <f t="shared" si="8"/>
        <v>11090</v>
      </c>
      <c r="BB17" s="222">
        <f t="shared" si="8"/>
        <v>11090</v>
      </c>
      <c r="BC17" s="22">
        <f t="shared" si="8"/>
        <v>11090</v>
      </c>
      <c r="BD17" s="22">
        <f t="shared" si="8"/>
        <v>11090</v>
      </c>
      <c r="BE17" s="22">
        <f t="shared" si="8"/>
        <v>11090</v>
      </c>
      <c r="BF17" s="22">
        <f t="shared" si="8"/>
        <v>11090</v>
      </c>
      <c r="BG17" s="22">
        <f t="shared" si="8"/>
        <v>11090</v>
      </c>
      <c r="BH17" s="22">
        <f t="shared" si="8"/>
        <v>11090</v>
      </c>
      <c r="BI17" s="22">
        <f t="shared" si="8"/>
        <v>11090</v>
      </c>
      <c r="BJ17" s="22">
        <f t="shared" si="8"/>
        <v>11090</v>
      </c>
      <c r="BK17" s="22">
        <f t="shared" si="8"/>
        <v>11090</v>
      </c>
      <c r="BL17" s="22">
        <f t="shared" si="8"/>
        <v>11090</v>
      </c>
      <c r="BM17" s="22">
        <f t="shared" si="8"/>
        <v>11090</v>
      </c>
      <c r="BN17" s="22">
        <f t="shared" si="8"/>
        <v>11090</v>
      </c>
      <c r="BO17" s="22">
        <f t="shared" si="8"/>
        <v>11090</v>
      </c>
      <c r="BP17" s="22">
        <f t="shared" ref="BP17:CG17" si="9">$D$43</f>
        <v>11090</v>
      </c>
      <c r="BQ17" s="22">
        <f t="shared" si="9"/>
        <v>11090</v>
      </c>
      <c r="BR17" s="22">
        <f t="shared" si="9"/>
        <v>11090</v>
      </c>
      <c r="BS17" s="22">
        <f t="shared" si="9"/>
        <v>11090</v>
      </c>
      <c r="BT17" s="22">
        <f t="shared" si="9"/>
        <v>11090</v>
      </c>
      <c r="BU17" s="22">
        <f t="shared" si="9"/>
        <v>11090</v>
      </c>
      <c r="BV17" s="22">
        <f t="shared" si="9"/>
        <v>11090</v>
      </c>
      <c r="BW17" s="22">
        <f t="shared" si="9"/>
        <v>11090</v>
      </c>
      <c r="BX17" s="22">
        <f t="shared" si="9"/>
        <v>11090</v>
      </c>
      <c r="BY17" s="22">
        <f t="shared" si="9"/>
        <v>11090</v>
      </c>
      <c r="BZ17" s="22">
        <f t="shared" si="9"/>
        <v>11090</v>
      </c>
      <c r="CA17" s="22">
        <f t="shared" si="9"/>
        <v>11090</v>
      </c>
      <c r="CB17" s="22">
        <f t="shared" si="9"/>
        <v>11090</v>
      </c>
      <c r="CC17" s="22">
        <f t="shared" si="9"/>
        <v>11090</v>
      </c>
      <c r="CD17" s="22">
        <f t="shared" si="9"/>
        <v>11090</v>
      </c>
      <c r="CE17" s="22">
        <f t="shared" si="9"/>
        <v>11090</v>
      </c>
      <c r="CF17" s="22">
        <f t="shared" si="9"/>
        <v>11090</v>
      </c>
      <c r="CG17" s="22">
        <f t="shared" si="9"/>
        <v>11090</v>
      </c>
    </row>
    <row r="18" spans="1:85" ht="2.1" customHeight="1" thickBot="1" x14ac:dyDescent="0.3">
      <c r="A18" s="117"/>
      <c r="B18" s="208"/>
      <c r="C18" s="209"/>
      <c r="D18" s="14"/>
      <c r="E18" s="5"/>
      <c r="F18" s="5"/>
      <c r="G18" s="5"/>
      <c r="H18" s="5"/>
      <c r="I18" s="5"/>
      <c r="J18" s="75">
        <f t="shared" si="2"/>
        <v>4</v>
      </c>
      <c r="K18" s="76">
        <f t="shared" si="2"/>
        <v>4</v>
      </c>
      <c r="L18" s="38"/>
      <c r="M18" s="255">
        <f t="shared" ref="M18:N19" si="10">IF($T$7="totalement la zone encombrée",1,IF($T$7="partiellement la zone encombrée",2,IF($T$7="une zone libre d'obstacles",3,4)))</f>
        <v>4</v>
      </c>
      <c r="N18" s="255">
        <f t="shared" si="10"/>
        <v>4</v>
      </c>
      <c r="O18" s="40"/>
      <c r="P18" s="5"/>
      <c r="Q18" s="114"/>
      <c r="R18" s="78"/>
      <c r="S18" s="77"/>
      <c r="T18" s="5"/>
      <c r="U18" s="5"/>
      <c r="V18" s="15"/>
    </row>
    <row r="19" spans="1:85" ht="24.95" customHeight="1" x14ac:dyDescent="0.25">
      <c r="A19" s="117">
        <v>7</v>
      </c>
      <c r="B19" s="201" t="s">
        <v>220</v>
      </c>
      <c r="C19" s="202"/>
      <c r="D19" s="204">
        <f>(H9*VLOOKUP(D7,Bd!A1:L49,9)*0.001)/(8.314472*(273.15+UVCE!D11))</f>
        <v>1.9078775971450253</v>
      </c>
      <c r="E19" s="203" t="s">
        <v>51</v>
      </c>
      <c r="F19" s="19"/>
      <c r="G19" s="19"/>
      <c r="H19" s="5"/>
      <c r="I19" s="5"/>
      <c r="J19" s="75">
        <f>IF($T$7="recouvre totalement la zone encombrée",1,IF($T$7="recouvre partiellement la zone encombrée",2,IF($T$7="est en zone libre d'obstacles",3,4)))</f>
        <v>4</v>
      </c>
      <c r="K19" s="76">
        <f>IF($T$7="recouvre totalement la zone encombrée",1,IF($T$7="recouvre partiellement la zone encombrée",2,IF($T$7="est en zone libre d'obstacles",3,4)))</f>
        <v>4</v>
      </c>
      <c r="L19" s="209"/>
      <c r="M19" s="326">
        <f>IF($T$7="recouvre totalement la zone encombrée",1,IF($T$7="recouvre partiellement la zone encombrée",2,IF($T$7="est en zone libre d'obstacles",3,4)))</f>
        <v>4</v>
      </c>
      <c r="N19" s="327">
        <f t="shared" si="10"/>
        <v>4</v>
      </c>
      <c r="O19" s="47"/>
      <c r="P19" s="36"/>
      <c r="Q19" s="114">
        <v>17</v>
      </c>
      <c r="R19" s="329" t="s">
        <v>101</v>
      </c>
      <c r="S19" s="330"/>
      <c r="T19" s="229" t="str">
        <f>IF(T7="est en zone libre d'obstacles", D21,"Sans objet")</f>
        <v>Sans objet</v>
      </c>
      <c r="U19" s="230" t="s">
        <v>50</v>
      </c>
      <c r="V19" s="15"/>
      <c r="AE19" s="228">
        <f>IF(H35&lt;&gt;"10  (Détonation)",VLOOKUP(H35,Bd!W1:X10,2),10)</f>
        <v>6</v>
      </c>
    </row>
    <row r="20" spans="1:85" ht="2.1" customHeight="1" x14ac:dyDescent="0.25">
      <c r="A20" s="117"/>
      <c r="B20" s="208"/>
      <c r="C20" s="209"/>
      <c r="D20" s="5"/>
      <c r="E20" s="5"/>
      <c r="F20" s="5"/>
      <c r="G20" s="5"/>
      <c r="H20" s="5"/>
      <c r="I20" s="5"/>
      <c r="J20" s="208"/>
      <c r="K20" s="90"/>
      <c r="L20" s="5"/>
      <c r="M20" s="5"/>
      <c r="N20" s="5"/>
      <c r="O20" s="5"/>
      <c r="P20" s="209"/>
      <c r="Q20" s="209"/>
      <c r="R20" s="5"/>
      <c r="S20" s="5"/>
      <c r="T20" s="5"/>
      <c r="U20" s="5"/>
      <c r="V20" s="15"/>
    </row>
    <row r="21" spans="1:85" ht="24.95" customHeight="1" x14ac:dyDescent="0.25">
      <c r="A21" s="117">
        <v>8</v>
      </c>
      <c r="B21" s="208" t="s">
        <v>222</v>
      </c>
      <c r="C21" s="209"/>
      <c r="D21" s="61">
        <f>(100/D17*D13/D19)</f>
        <v>13103.565992603691</v>
      </c>
      <c r="E21" s="5" t="s">
        <v>50</v>
      </c>
      <c r="F21" s="5"/>
      <c r="G21" s="5"/>
      <c r="H21" s="5"/>
      <c r="I21" s="5"/>
      <c r="J21" s="91"/>
      <c r="K21" s="92"/>
      <c r="L21" s="5"/>
      <c r="M21" s="5"/>
      <c r="N21" s="5"/>
      <c r="O21" s="5"/>
      <c r="P21" s="209"/>
      <c r="Q21" s="209"/>
      <c r="R21" s="5"/>
      <c r="S21" s="5"/>
      <c r="T21" s="5"/>
      <c r="U21" s="5"/>
      <c r="V21" s="15"/>
      <c r="AD21" s="218" t="s">
        <v>58</v>
      </c>
      <c r="AE21" s="84">
        <v>0.38</v>
      </c>
    </row>
    <row r="22" spans="1:85" ht="2.1" customHeight="1" x14ac:dyDescent="0.25">
      <c r="A22" s="117"/>
      <c r="B22" s="208"/>
      <c r="C22" s="209"/>
      <c r="D22" s="5"/>
      <c r="E22" s="5"/>
      <c r="F22" s="5"/>
      <c r="G22" s="5"/>
      <c r="H22" s="5"/>
      <c r="I22" s="5"/>
      <c r="J22" s="28"/>
      <c r="K22" s="5"/>
      <c r="L22" s="5"/>
      <c r="M22" s="5"/>
      <c r="N22" s="5"/>
      <c r="O22" s="5"/>
      <c r="P22" s="209"/>
      <c r="Q22" s="209"/>
      <c r="R22" s="5"/>
      <c r="S22" s="5"/>
      <c r="T22" s="5"/>
      <c r="U22" s="5"/>
      <c r="V22" s="15"/>
    </row>
    <row r="23" spans="1:85" ht="24.95" hidden="1" customHeight="1" x14ac:dyDescent="0.25">
      <c r="A23" s="117">
        <v>9</v>
      </c>
      <c r="B23" s="208"/>
      <c r="C23" s="209"/>
      <c r="D23" s="6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09"/>
      <c r="Q23" s="209"/>
      <c r="R23" s="5"/>
      <c r="S23" s="5"/>
      <c r="T23" s="5"/>
      <c r="U23" s="5"/>
      <c r="V23" s="15"/>
      <c r="W23" s="19"/>
      <c r="X23" s="82"/>
      <c r="Y23" s="82"/>
      <c r="AD23" s="218" t="s">
        <v>59</v>
      </c>
      <c r="AE23" s="223">
        <f>AE21*(POWER(E55*1000000/D9*10000,1/3))/340</f>
        <v>619.32468472209757</v>
      </c>
      <c r="AF23" s="84" t="s">
        <v>15</v>
      </c>
      <c r="AG23" s="84">
        <f>AE23/1000</f>
        <v>0.61932468472209756</v>
      </c>
    </row>
    <row r="24" spans="1:85" ht="2.1" hidden="1" customHeight="1" x14ac:dyDescent="0.25">
      <c r="A24" s="117"/>
      <c r="B24" s="208"/>
      <c r="C24" s="20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09"/>
      <c r="Q24" s="209"/>
      <c r="R24" s="5"/>
      <c r="S24" s="5"/>
      <c r="T24" s="5"/>
      <c r="U24" s="5"/>
      <c r="V24" s="15"/>
      <c r="W24" s="19"/>
      <c r="X24" s="82"/>
      <c r="Y24" s="82"/>
    </row>
    <row r="25" spans="1:85" ht="24.95" hidden="1" customHeight="1" x14ac:dyDescent="0.25">
      <c r="A25" s="117">
        <v>10</v>
      </c>
      <c r="B25" s="208"/>
      <c r="C25" s="209"/>
      <c r="D25" s="6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09"/>
      <c r="Q25" s="209"/>
      <c r="R25" s="5"/>
      <c r="S25" s="5"/>
      <c r="T25" s="5"/>
      <c r="U25" s="5"/>
      <c r="V25" s="15"/>
      <c r="W25" s="19"/>
      <c r="X25" s="82"/>
      <c r="Y25" s="82"/>
      <c r="AD25" s="218" t="s">
        <v>60</v>
      </c>
      <c r="AE25" s="223">
        <f>1/2*K29*AG23</f>
        <v>0</v>
      </c>
      <c r="AF25" s="84" t="s">
        <v>62</v>
      </c>
    </row>
    <row r="26" spans="1:85" ht="2.1" hidden="1" customHeight="1" x14ac:dyDescent="0.25">
      <c r="A26" s="115"/>
      <c r="B26" s="208"/>
      <c r="C26" s="20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09"/>
      <c r="Q26" s="209"/>
      <c r="R26" s="5"/>
      <c r="S26" s="5"/>
      <c r="T26" s="5"/>
      <c r="U26" s="5"/>
      <c r="V26" s="15"/>
      <c r="W26" s="19"/>
      <c r="X26" s="82"/>
      <c r="Y26" s="82"/>
    </row>
    <row r="27" spans="1:85" ht="24.95" hidden="1" customHeight="1" x14ac:dyDescent="0.25">
      <c r="A27" s="115"/>
      <c r="B27" s="208"/>
      <c r="C27" s="20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09"/>
      <c r="Q27" s="209"/>
      <c r="R27" s="5"/>
      <c r="S27" s="5"/>
      <c r="T27" s="5"/>
      <c r="U27" s="5"/>
      <c r="V27" s="15"/>
      <c r="W27" s="19"/>
      <c r="X27" s="82"/>
      <c r="Y27" s="82"/>
      <c r="Z27" s="166"/>
      <c r="AA27" s="302"/>
      <c r="AB27" s="302"/>
      <c r="AC27" s="302"/>
      <c r="AD27" s="218" t="s">
        <v>63</v>
      </c>
      <c r="AE27" s="84">
        <v>3.0000000000000001E-3</v>
      </c>
    </row>
    <row r="28" spans="1:85" ht="23.25" customHeight="1" x14ac:dyDescent="0.25">
      <c r="A28" s="115"/>
      <c r="B28" s="208"/>
      <c r="C28" s="20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9"/>
      <c r="Q28" s="19"/>
      <c r="R28" s="5"/>
      <c r="S28" s="5"/>
      <c r="T28" s="5"/>
      <c r="U28" s="5"/>
      <c r="V28" s="15"/>
      <c r="W28" s="19"/>
      <c r="X28" s="82"/>
      <c r="Y28" s="82"/>
    </row>
    <row r="29" spans="1:85" ht="24.95" customHeight="1" x14ac:dyDescent="0.45">
      <c r="A29" s="115"/>
      <c r="B29" s="206" t="s">
        <v>208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87"/>
      <c r="O29" s="87"/>
      <c r="P29" s="89"/>
      <c r="Q29" s="89"/>
      <c r="R29" s="89"/>
      <c r="S29" s="89"/>
      <c r="T29" s="89"/>
      <c r="U29" s="89"/>
      <c r="V29" s="177"/>
      <c r="W29" s="19"/>
      <c r="X29" s="82"/>
      <c r="Y29" s="82"/>
      <c r="Z29" s="82"/>
      <c r="AD29" s="218" t="s">
        <v>64</v>
      </c>
      <c r="AE29" s="84">
        <f>AE27*D9*100000</f>
        <v>304.5</v>
      </c>
      <c r="AF29" s="84" t="s">
        <v>61</v>
      </c>
    </row>
    <row r="30" spans="1:85" ht="1.5" customHeight="1" x14ac:dyDescent="0.25">
      <c r="A30" s="115"/>
      <c r="B30" s="208"/>
      <c r="C30" s="20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209"/>
      <c r="Q30" s="209"/>
      <c r="R30" s="5"/>
      <c r="S30" s="5"/>
      <c r="T30" s="5"/>
      <c r="U30" s="5"/>
      <c r="V30" s="15"/>
      <c r="W30" s="19"/>
      <c r="X30" s="82"/>
      <c r="Y30" s="82"/>
    </row>
    <row r="31" spans="1:85" ht="18" customHeight="1" thickBot="1" x14ac:dyDescent="0.3">
      <c r="A31" s="115"/>
      <c r="B31" s="365" t="s">
        <v>200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188"/>
      <c r="R31" s="311" t="s">
        <v>201</v>
      </c>
      <c r="S31" s="311"/>
      <c r="T31" s="311"/>
      <c r="U31" s="311"/>
      <c r="V31" s="312"/>
      <c r="W31" s="19"/>
      <c r="X31" s="82"/>
      <c r="Y31" s="82"/>
    </row>
    <row r="32" spans="1:85" ht="24.95" customHeight="1" thickBot="1" x14ac:dyDescent="0.3">
      <c r="A32" s="115"/>
      <c r="B32" s="371" t="str">
        <f>IF(T7="est en ZONE LIBRE d'obstacles","Pour une explosion en zone libre","Pour une explosion en zone encombrée")</f>
        <v>Pour une explosion en zone encombrée</v>
      </c>
      <c r="C32" s="372"/>
      <c r="D32" s="372"/>
      <c r="E32" s="372"/>
      <c r="F32" s="372"/>
      <c r="G32" s="372"/>
      <c r="H32" s="372"/>
      <c r="I32" s="25"/>
      <c r="J32" s="70"/>
      <c r="K32" s="19"/>
      <c r="L32" s="19"/>
      <c r="M32" s="19"/>
      <c r="N32" s="5"/>
      <c r="O32" s="5"/>
      <c r="P32" s="209"/>
      <c r="Q32" s="189"/>
      <c r="R32" s="5"/>
      <c r="S32" s="5"/>
      <c r="T32" s="5"/>
      <c r="U32" s="5"/>
      <c r="V32" s="15"/>
      <c r="W32" s="19"/>
      <c r="X32" s="82"/>
      <c r="Y32" s="82"/>
    </row>
    <row r="33" spans="1:34" ht="6.95" customHeight="1" x14ac:dyDescent="0.25">
      <c r="A33" s="115"/>
      <c r="B33" s="208"/>
      <c r="C33" s="209"/>
      <c r="D33" s="5"/>
      <c r="E33" s="5"/>
      <c r="F33" s="5"/>
      <c r="G33" s="5"/>
      <c r="H33" s="5"/>
      <c r="I33" s="5"/>
      <c r="J33" s="19"/>
      <c r="K33" s="19"/>
      <c r="L33" s="19"/>
      <c r="M33" s="43"/>
      <c r="N33" s="5"/>
      <c r="O33" s="5"/>
      <c r="P33" s="86"/>
      <c r="Q33" s="190"/>
      <c r="R33" s="5"/>
      <c r="S33" s="5"/>
      <c r="T33" s="5"/>
      <c r="U33" s="5"/>
      <c r="V33" s="15"/>
      <c r="W33" s="19"/>
      <c r="X33" s="82"/>
      <c r="Y33" s="82"/>
    </row>
    <row r="34" spans="1:34" ht="24.95" customHeight="1" x14ac:dyDescent="0.25">
      <c r="A34" s="115">
        <v>18</v>
      </c>
      <c r="B34" s="183" t="s">
        <v>226</v>
      </c>
      <c r="C34" s="184"/>
      <c r="D34" s="339" t="s">
        <v>228</v>
      </c>
      <c r="E34" s="340"/>
      <c r="F34" s="5"/>
      <c r="G34" s="5"/>
      <c r="H34" s="343" t="s">
        <v>44</v>
      </c>
      <c r="I34" s="343"/>
      <c r="J34" s="19"/>
      <c r="K34" s="19"/>
      <c r="L34" s="19"/>
      <c r="M34" s="19"/>
      <c r="N34" s="5"/>
      <c r="O34" s="5"/>
      <c r="P34" s="209"/>
      <c r="Q34" s="189"/>
      <c r="R34" s="5"/>
      <c r="S34" s="5"/>
      <c r="T34" s="5"/>
      <c r="U34" s="5"/>
      <c r="V34" s="15"/>
      <c r="W34" s="19"/>
      <c r="X34" s="82"/>
      <c r="Y34" s="82"/>
      <c r="AE34" s="211">
        <f>IF(Indice!AF22=0.1, "Non atteint",Indice!AF22)</f>
        <v>6</v>
      </c>
      <c r="AF34" s="212">
        <f>IF(Indice!AF26=0.1,"Non atteint",Indice!AF26)</f>
        <v>3</v>
      </c>
      <c r="AG34" s="212">
        <f>IF(Indice!AF30=0.1,"Non atteint", Indice!AF30)</f>
        <v>2</v>
      </c>
    </row>
    <row r="35" spans="1:34" ht="24.95" customHeight="1" x14ac:dyDescent="0.25">
      <c r="B35" s="214" t="s">
        <v>224</v>
      </c>
      <c r="C35" s="209"/>
      <c r="D35" s="341" t="str">
        <f>IF(AND(T7="est en zone libre d'obstacles",(VLOOKUP(D7,Bd!A1:L49,10))&gt;0.53),Bd!W6,IF(AND(T7&lt;&gt;"est en zone libre d'obstacles",(VLOOKUP(D7,Bd!A1:L49,10))&gt;0.53),Bd!W10,IF(AND(T7="est en zone libre d'obstacles",(VLOOKUP(D7,Bd!A1:L49,10))&lt;0.53),Bd!W4,Bd!W6)))</f>
        <v>6    (forte déflagration)</v>
      </c>
      <c r="E35" s="342"/>
      <c r="F35" s="5"/>
      <c r="G35" s="5"/>
      <c r="H35" s="84" t="str">
        <f>IF(D34=Z1,H34,D35)</f>
        <v>6    (forte déflagration)</v>
      </c>
      <c r="I35" s="5"/>
      <c r="J35" s="19"/>
      <c r="K35" s="19"/>
      <c r="L35" s="19"/>
      <c r="M35" s="19"/>
      <c r="N35" s="5"/>
      <c r="O35" s="5"/>
      <c r="P35" s="209"/>
      <c r="Q35" s="189"/>
      <c r="R35" s="5"/>
      <c r="S35" s="5"/>
      <c r="T35" s="5"/>
      <c r="U35" s="5"/>
      <c r="V35" s="15"/>
      <c r="W35" s="19"/>
      <c r="X35" s="82"/>
      <c r="Y35" s="82"/>
      <c r="AE35" s="211"/>
      <c r="AF35" s="212"/>
      <c r="AG35" s="212"/>
    </row>
    <row r="36" spans="1:34" ht="10.5" customHeight="1" x14ac:dyDescent="0.25">
      <c r="A36" s="115"/>
      <c r="B36" s="208"/>
      <c r="C36" s="209"/>
      <c r="D36" s="5"/>
      <c r="E36" s="5"/>
      <c r="F36" s="5"/>
      <c r="G36" s="5"/>
      <c r="H36" s="209"/>
      <c r="I36" s="5"/>
      <c r="J36" s="27"/>
      <c r="K36" s="27"/>
      <c r="L36" s="27"/>
      <c r="M36" s="29"/>
      <c r="N36" s="5"/>
      <c r="O36" s="5"/>
      <c r="P36" s="209"/>
      <c r="Q36" s="189"/>
      <c r="R36" s="5"/>
      <c r="S36" s="5"/>
      <c r="T36" s="5"/>
      <c r="U36" s="5"/>
      <c r="V36" s="15"/>
      <c r="W36" s="19"/>
      <c r="X36" s="82"/>
      <c r="Y36" s="82"/>
    </row>
    <row r="37" spans="1:34" ht="24.95" hidden="1" customHeight="1" x14ac:dyDescent="0.2">
      <c r="A37" s="115">
        <v>19</v>
      </c>
      <c r="B37" s="71" t="s">
        <v>112</v>
      </c>
      <c r="C37" s="209"/>
      <c r="D37" s="175">
        <v>130</v>
      </c>
      <c r="E37" s="5" t="s">
        <v>5</v>
      </c>
      <c r="F37" s="5"/>
      <c r="G37" s="5"/>
      <c r="H37" s="209"/>
      <c r="I37" s="5"/>
      <c r="J37" s="5"/>
      <c r="K37" s="48"/>
      <c r="L37" s="48"/>
      <c r="M37" s="209"/>
      <c r="N37" s="5"/>
      <c r="O37" s="5"/>
      <c r="P37" s="209"/>
      <c r="Q37" s="189"/>
      <c r="R37" s="5"/>
      <c r="S37" s="5"/>
      <c r="T37" s="5"/>
      <c r="U37" s="5"/>
      <c r="V37" s="15"/>
      <c r="W37" s="19"/>
      <c r="X37" s="82"/>
      <c r="Y37" s="172"/>
      <c r="AE37" s="224" t="s">
        <v>47</v>
      </c>
      <c r="AF37" s="224" t="s">
        <v>48</v>
      </c>
      <c r="AG37" s="224" t="s">
        <v>49</v>
      </c>
      <c r="AH37" s="224"/>
    </row>
    <row r="38" spans="1:34" ht="2.1" hidden="1" customHeight="1" x14ac:dyDescent="0.25">
      <c r="A38" s="115"/>
      <c r="B38" s="208"/>
      <c r="C38" s="209"/>
      <c r="D38" s="5"/>
      <c r="E38" s="5"/>
      <c r="F38" s="5"/>
      <c r="G38" s="5"/>
      <c r="H38" s="209"/>
      <c r="I38" s="5"/>
      <c r="J38" s="19"/>
      <c r="K38" s="19"/>
      <c r="L38" s="19"/>
      <c r="M38" s="209"/>
      <c r="N38" s="86"/>
      <c r="O38" s="86"/>
      <c r="P38" s="86"/>
      <c r="Q38" s="190"/>
      <c r="R38" s="5"/>
      <c r="S38" s="5"/>
      <c r="T38" s="5"/>
      <c r="U38" s="5"/>
      <c r="V38" s="15"/>
      <c r="W38" s="19"/>
      <c r="X38" s="82"/>
      <c r="Y38" s="166"/>
    </row>
    <row r="39" spans="1:34" ht="24.95" hidden="1" customHeight="1" x14ac:dyDescent="0.25">
      <c r="A39" s="115"/>
      <c r="B39" s="45" t="s">
        <v>108</v>
      </c>
      <c r="C39" s="5"/>
      <c r="D39" s="61">
        <f>IF(B32="Pour une explosion en zone libre",Indice!AF57*1000,Indice!AF34*1000)</f>
        <v>500</v>
      </c>
      <c r="E39" s="19" t="s">
        <v>6</v>
      </c>
      <c r="F39" s="5"/>
      <c r="G39" s="5"/>
      <c r="H39" s="209"/>
      <c r="I39" s="5"/>
      <c r="J39" s="5"/>
      <c r="K39" s="64"/>
      <c r="L39" s="64"/>
      <c r="M39" s="209"/>
      <c r="N39" s="86"/>
      <c r="O39" s="86"/>
      <c r="P39" s="86"/>
      <c r="Q39" s="190"/>
      <c r="R39" s="5"/>
      <c r="S39" s="5"/>
      <c r="T39" s="5"/>
      <c r="U39" s="5"/>
      <c r="V39" s="15"/>
      <c r="W39" s="19"/>
      <c r="X39" s="82"/>
      <c r="Y39" s="172"/>
    </row>
    <row r="40" spans="1:34" ht="2.1" customHeight="1" x14ac:dyDescent="0.25">
      <c r="A40" s="115"/>
      <c r="B40" s="208"/>
      <c r="C40" s="209"/>
      <c r="D40" s="5"/>
      <c r="E40" s="5"/>
      <c r="F40" s="5"/>
      <c r="G40" s="5"/>
      <c r="H40" s="5"/>
      <c r="I40" s="5"/>
      <c r="J40" s="5"/>
      <c r="K40" s="19"/>
      <c r="L40" s="19"/>
      <c r="M40" s="19"/>
      <c r="N40" s="86"/>
      <c r="O40" s="86"/>
      <c r="P40" s="86"/>
      <c r="Q40" s="190"/>
      <c r="R40" s="5"/>
      <c r="S40" s="5"/>
      <c r="T40" s="5"/>
      <c r="U40" s="5"/>
      <c r="V40" s="15"/>
      <c r="W40" s="19"/>
      <c r="X40" s="82"/>
      <c r="Y40" s="82"/>
    </row>
    <row r="41" spans="1:34" ht="24.95" customHeight="1" x14ac:dyDescent="0.2">
      <c r="A41" s="115"/>
      <c r="B41" s="373" t="s">
        <v>107</v>
      </c>
      <c r="C41" s="374"/>
      <c r="D41" s="374"/>
      <c r="E41" s="26"/>
      <c r="F41" s="5"/>
      <c r="G41" s="5"/>
      <c r="H41" s="5"/>
      <c r="I41" s="5"/>
      <c r="J41" s="5"/>
      <c r="K41" s="19"/>
      <c r="L41" s="19"/>
      <c r="M41" s="5"/>
      <c r="N41" s="86"/>
      <c r="O41" s="86"/>
      <c r="P41" s="86"/>
      <c r="Q41" s="190"/>
      <c r="R41" s="5"/>
      <c r="S41" s="178" t="s">
        <v>203</v>
      </c>
      <c r="T41" s="181">
        <f>D15</f>
        <v>95</v>
      </c>
      <c r="U41" s="30" t="s">
        <v>74</v>
      </c>
      <c r="V41" s="15"/>
      <c r="W41" s="19"/>
      <c r="X41" s="82"/>
      <c r="Y41" s="82"/>
    </row>
    <row r="42" spans="1:34" ht="2.1" customHeight="1" x14ac:dyDescent="0.25">
      <c r="A42" s="115"/>
      <c r="B42" s="208"/>
      <c r="C42" s="209"/>
      <c r="D42" s="26"/>
      <c r="E42" s="26"/>
      <c r="F42" s="5"/>
      <c r="G42" s="5"/>
      <c r="H42" s="209"/>
      <c r="I42" s="5"/>
      <c r="J42" s="5"/>
      <c r="K42" s="19"/>
      <c r="L42" s="19"/>
      <c r="M42" s="5"/>
      <c r="N42" s="86"/>
      <c r="O42" s="86"/>
      <c r="P42" s="86"/>
      <c r="Q42" s="190"/>
      <c r="R42" s="5"/>
      <c r="S42" s="179"/>
      <c r="T42" s="25"/>
      <c r="U42" s="5"/>
      <c r="V42" s="15"/>
      <c r="W42" s="19"/>
      <c r="X42" s="82"/>
      <c r="Y42" s="82"/>
    </row>
    <row r="43" spans="1:34" ht="24.95" customHeight="1" x14ac:dyDescent="0.25">
      <c r="A43" s="115">
        <v>20</v>
      </c>
      <c r="B43" s="187">
        <v>20</v>
      </c>
      <c r="C43" s="209"/>
      <c r="D43" s="181">
        <f>IF(B32="Pour une explosion en zone libre",IF(AH64="Non atteint","Non atteint",ROUNDUP((((AH64*((POWER((E57*100000)/(D9*10000),1/3)))))),-1)),IF(AG64="Non atteint","Non atteint",ROUNDUP((((AG64*((POWER((E55*100000)/(D9*10000),1/3)))))),-1)))</f>
        <v>11090</v>
      </c>
      <c r="E43" s="30" t="s">
        <v>74</v>
      </c>
      <c r="F43" s="5"/>
      <c r="G43" s="5"/>
      <c r="H43" s="5"/>
      <c r="I43" s="5"/>
      <c r="J43" s="5"/>
      <c r="K43" s="19"/>
      <c r="L43" s="19"/>
      <c r="M43" s="5"/>
      <c r="N43" s="86"/>
      <c r="O43" s="86"/>
      <c r="P43" s="86"/>
      <c r="Q43" s="190"/>
      <c r="R43" s="5"/>
      <c r="S43" s="178" t="s">
        <v>204</v>
      </c>
      <c r="T43" s="181">
        <f>D15</f>
        <v>95</v>
      </c>
      <c r="U43" s="30" t="s">
        <v>74</v>
      </c>
      <c r="V43" s="15"/>
      <c r="W43" s="19"/>
      <c r="X43" s="82"/>
      <c r="Y43" s="82"/>
    </row>
    <row r="44" spans="1:34" ht="2.1" customHeight="1" x14ac:dyDescent="0.25">
      <c r="A44" s="115"/>
      <c r="B44" s="208"/>
      <c r="C44" s="209"/>
      <c r="D44" s="30"/>
      <c r="E44" s="5"/>
      <c r="F44" s="5"/>
      <c r="G44" s="5"/>
      <c r="H44" s="5"/>
      <c r="I44" s="5"/>
      <c r="J44" s="5"/>
      <c r="K44" s="5"/>
      <c r="L44" s="5"/>
      <c r="M44" s="5"/>
      <c r="N44" s="86"/>
      <c r="O44" s="86"/>
      <c r="P44" s="86"/>
      <c r="Q44" s="190"/>
      <c r="R44" s="5"/>
      <c r="S44" s="179"/>
      <c r="T44" s="25"/>
      <c r="U44" s="5"/>
      <c r="V44" s="15"/>
      <c r="W44" s="19"/>
      <c r="X44" s="82"/>
      <c r="Y44" s="82"/>
    </row>
    <row r="45" spans="1:34" ht="24.95" customHeight="1" x14ac:dyDescent="0.25">
      <c r="A45" s="115">
        <v>21</v>
      </c>
      <c r="B45" s="185" t="s">
        <v>210</v>
      </c>
      <c r="C45" s="209"/>
      <c r="D45" s="181">
        <f>IF(B32="pour une explosion en zone libre",IF(AE34="Non atteint", "non atteint",ROUNDUP(AE34*AF11,-1)),IF(AE34="Non atteint", "non atteint",ROUNDUP(AE34*AF9,-1)))</f>
        <v>3330</v>
      </c>
      <c r="E45" s="30" t="s">
        <v>74</v>
      </c>
      <c r="F45" s="5"/>
      <c r="G45" s="5"/>
      <c r="H45" s="5"/>
      <c r="I45" s="5"/>
      <c r="J45" s="5"/>
      <c r="K45" s="5"/>
      <c r="L45" s="5"/>
      <c r="M45" s="5"/>
      <c r="N45" s="86"/>
      <c r="O45" s="86"/>
      <c r="P45" s="86"/>
      <c r="Q45" s="190"/>
      <c r="R45" s="5"/>
      <c r="S45" s="178" t="s">
        <v>205</v>
      </c>
      <c r="T45" s="182">
        <f>D15*1.1</f>
        <v>104.50000000000001</v>
      </c>
      <c r="U45" s="30" t="s">
        <v>74</v>
      </c>
      <c r="V45" s="15"/>
      <c r="W45" s="19"/>
      <c r="X45" s="82"/>
      <c r="Y45" s="82"/>
    </row>
    <row r="46" spans="1:34" ht="2.1" customHeight="1" x14ac:dyDescent="0.25">
      <c r="A46" s="115"/>
      <c r="B46" s="186"/>
      <c r="C46" s="209"/>
      <c r="D46" s="3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91"/>
      <c r="R46" s="5"/>
      <c r="S46" s="5"/>
      <c r="T46" s="5"/>
      <c r="U46" s="5"/>
      <c r="V46" s="15"/>
      <c r="W46" s="19"/>
      <c r="X46" s="82"/>
      <c r="Y46" s="82"/>
    </row>
    <row r="47" spans="1:34" ht="24.95" customHeight="1" x14ac:dyDescent="0.25">
      <c r="A47" s="115">
        <v>22</v>
      </c>
      <c r="B47" s="185" t="s">
        <v>209</v>
      </c>
      <c r="C47" s="209"/>
      <c r="D47" s="181">
        <f>IF(B32="pour une explosion en zone libre",IF(AF34="Non atteint", "non atteint",ROUNDUP(AF34*AF11,-1)),IF(AF34="Non atteint", "non atteint",ROUNDUP(AF34*AF9,-1)))</f>
        <v>1670</v>
      </c>
      <c r="E47" s="30" t="s">
        <v>74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91"/>
      <c r="R47" s="5"/>
      <c r="S47" s="5"/>
      <c r="T47" s="5"/>
      <c r="U47" s="5"/>
      <c r="V47" s="15"/>
      <c r="W47" s="19"/>
      <c r="X47" s="82"/>
      <c r="Y47" s="82"/>
    </row>
    <row r="48" spans="1:34" ht="2.4500000000000002" customHeight="1" x14ac:dyDescent="0.25">
      <c r="A48" s="115"/>
      <c r="B48" s="186"/>
      <c r="C48" s="209"/>
      <c r="D48" s="3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91"/>
      <c r="R48" s="5"/>
      <c r="S48" s="5"/>
      <c r="T48" s="5"/>
      <c r="U48" s="5"/>
      <c r="V48" s="15"/>
      <c r="W48" s="19"/>
      <c r="X48" s="82"/>
      <c r="Y48" s="82"/>
    </row>
    <row r="49" spans="1:38" ht="24.95" customHeight="1" x14ac:dyDescent="0.25">
      <c r="A49" s="115">
        <v>23</v>
      </c>
      <c r="B49" s="185" t="s">
        <v>212</v>
      </c>
      <c r="C49" s="209"/>
      <c r="D49" s="181">
        <f>IF(B32="pour une explosion en zone libre",IF(AG34="Non atteint", "Non atteint",ROUNDUP(AG34*AF11,-1)),IF(AG34="Non atteint", "Non atteint",ROUNDUP(AG34*AF9,-1)))</f>
        <v>1110</v>
      </c>
      <c r="E49" s="30" t="s">
        <v>74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209"/>
      <c r="Q49" s="189"/>
      <c r="R49" s="5"/>
      <c r="S49" s="5"/>
      <c r="T49" s="5"/>
      <c r="U49" s="5"/>
      <c r="V49" s="15"/>
      <c r="W49" s="19"/>
      <c r="X49" s="82"/>
      <c r="Y49" s="82"/>
      <c r="AC49" s="82"/>
      <c r="AD49" s="225"/>
    </row>
    <row r="50" spans="1:38" ht="2.1" customHeight="1" x14ac:dyDescent="0.25">
      <c r="A50" s="115"/>
      <c r="B50" s="208"/>
      <c r="C50" s="20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9"/>
      <c r="Q50" s="191"/>
      <c r="R50" s="5"/>
      <c r="S50" s="5"/>
      <c r="T50" s="5"/>
      <c r="U50" s="5"/>
      <c r="V50" s="15"/>
      <c r="W50" s="19"/>
      <c r="X50" s="82"/>
      <c r="Y50" s="82"/>
      <c r="AC50" s="82"/>
      <c r="AD50" s="225"/>
    </row>
    <row r="51" spans="1:38" ht="24.95" customHeight="1" x14ac:dyDescent="0.25">
      <c r="A51" s="115"/>
      <c r="B51" s="94"/>
      <c r="C51" s="43"/>
      <c r="D51" s="19"/>
      <c r="E51" s="19"/>
      <c r="F51" s="5"/>
      <c r="G51" s="5"/>
      <c r="H51" s="209"/>
      <c r="I51" s="5"/>
      <c r="J51" s="5"/>
      <c r="K51" s="5"/>
      <c r="L51" s="5"/>
      <c r="M51" s="5"/>
      <c r="N51" s="5"/>
      <c r="O51" s="5"/>
      <c r="P51" s="209"/>
      <c r="Q51" s="189"/>
      <c r="R51" s="5"/>
      <c r="S51" s="5"/>
      <c r="T51" s="5"/>
      <c r="U51" s="5"/>
      <c r="V51" s="15"/>
      <c r="W51" s="19"/>
      <c r="X51" s="82"/>
      <c r="Y51" s="82"/>
      <c r="AC51" s="82"/>
      <c r="AD51" s="225"/>
    </row>
    <row r="52" spans="1:38" ht="2.1" customHeight="1" x14ac:dyDescent="0.25">
      <c r="A52" s="115"/>
      <c r="B52" s="95"/>
      <c r="C52" s="19"/>
      <c r="D52" s="19"/>
      <c r="E52" s="19"/>
      <c r="F52" s="5"/>
      <c r="G52" s="5"/>
      <c r="H52" s="5"/>
      <c r="I52" s="5"/>
      <c r="J52" s="5"/>
      <c r="K52" s="5"/>
      <c r="L52" s="5"/>
      <c r="M52" s="5"/>
      <c r="N52" s="19"/>
      <c r="O52" s="19"/>
      <c r="P52" s="5"/>
      <c r="Q52" s="191"/>
      <c r="R52" s="5"/>
      <c r="S52" s="5"/>
      <c r="T52" s="5"/>
      <c r="U52" s="5"/>
      <c r="V52" s="15"/>
      <c r="W52" s="19"/>
      <c r="X52" s="82"/>
      <c r="Y52" s="82"/>
      <c r="AC52" s="82"/>
      <c r="AD52" s="225"/>
    </row>
    <row r="53" spans="1:38" ht="24.95" customHeight="1" x14ac:dyDescent="0.2">
      <c r="A53" s="115"/>
      <c r="B53" s="208"/>
      <c r="C53" s="209"/>
      <c r="D53" s="93" t="s">
        <v>57</v>
      </c>
      <c r="E53" s="383" t="s">
        <v>219</v>
      </c>
      <c r="F53" s="383"/>
      <c r="G53" s="383"/>
      <c r="H53" s="383"/>
      <c r="I53" s="5"/>
      <c r="J53" s="5"/>
      <c r="K53" s="5"/>
      <c r="L53" s="5"/>
      <c r="M53" s="5"/>
      <c r="N53" s="5"/>
      <c r="O53" s="5"/>
      <c r="P53" s="5"/>
      <c r="Q53" s="191"/>
      <c r="R53" s="5"/>
      <c r="S53" s="5"/>
      <c r="T53" s="5"/>
      <c r="U53" s="5"/>
      <c r="V53" s="15"/>
      <c r="W53" s="19"/>
      <c r="X53" s="82"/>
      <c r="Y53" s="82"/>
      <c r="AC53" s="82"/>
      <c r="AD53" s="225"/>
    </row>
    <row r="54" spans="1:38" ht="2.1" customHeight="1" x14ac:dyDescent="0.25">
      <c r="A54" s="115"/>
      <c r="B54" s="208"/>
      <c r="C54" s="20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91"/>
      <c r="R54" s="5"/>
      <c r="S54" s="5"/>
      <c r="T54" s="5"/>
      <c r="U54" s="5"/>
      <c r="V54" s="15"/>
      <c r="W54" s="19"/>
      <c r="X54" s="82"/>
      <c r="Y54" s="82"/>
      <c r="AC54" s="82"/>
      <c r="AD54" s="225"/>
    </row>
    <row r="55" spans="1:38" ht="24.95" customHeight="1" x14ac:dyDescent="0.25">
      <c r="A55" s="115">
        <v>24</v>
      </c>
      <c r="B55" s="379" t="s">
        <v>244</v>
      </c>
      <c r="C55" s="380"/>
      <c r="D55" s="243">
        <f>(POWER((3*T17/(PI()*2)),1/3))</f>
        <v>133.57468353830845</v>
      </c>
      <c r="E55" s="244">
        <f>(T17)*(VLOOKUP(D7,Bd!A1:L49,12))</f>
        <v>17270590</v>
      </c>
      <c r="F55" s="245"/>
      <c r="G55" s="245"/>
      <c r="H55" s="246" t="s">
        <v>13</v>
      </c>
      <c r="I55" s="5"/>
      <c r="J55" s="5"/>
      <c r="K55" s="5"/>
      <c r="L55" s="5"/>
      <c r="M55" s="5"/>
      <c r="N55" s="5"/>
      <c r="O55" s="5"/>
      <c r="P55" s="209"/>
      <c r="Q55" s="189"/>
      <c r="R55" s="5"/>
      <c r="S55" s="5"/>
      <c r="T55" s="5"/>
      <c r="U55" s="5"/>
      <c r="V55" s="15"/>
      <c r="W55" s="85"/>
      <c r="X55" s="217"/>
      <c r="Y55" s="82"/>
      <c r="AC55" s="82"/>
      <c r="AD55" s="225"/>
    </row>
    <row r="56" spans="1:38" ht="2.1" customHeight="1" x14ac:dyDescent="0.25">
      <c r="A56" s="115"/>
      <c r="B56" s="247"/>
      <c r="C56" s="248"/>
      <c r="D56" s="249"/>
      <c r="E56" s="250"/>
      <c r="F56" s="248"/>
      <c r="G56" s="248"/>
      <c r="H56" s="248"/>
      <c r="I56" s="5"/>
      <c r="J56" s="5"/>
      <c r="K56" s="5"/>
      <c r="L56" s="5"/>
      <c r="M56" s="19"/>
      <c r="N56" s="5"/>
      <c r="O56" s="5"/>
      <c r="P56" s="5"/>
      <c r="Q56" s="191"/>
      <c r="R56" s="5"/>
      <c r="S56" s="5"/>
      <c r="T56" s="5"/>
      <c r="U56" s="5"/>
      <c r="V56" s="15"/>
      <c r="W56" s="19"/>
      <c r="X56" s="82"/>
      <c r="Y56" s="82"/>
      <c r="Z56" s="82"/>
      <c r="AA56" s="82"/>
      <c r="AB56" s="82"/>
      <c r="AC56" s="82"/>
      <c r="AD56" s="225"/>
    </row>
    <row r="57" spans="1:38" ht="24.95" customHeight="1" thickBot="1" x14ac:dyDescent="0.3">
      <c r="A57" s="118">
        <v>25</v>
      </c>
      <c r="B57" s="381" t="s">
        <v>243</v>
      </c>
      <c r="C57" s="382"/>
      <c r="D57" s="239" t="e">
        <f>(POWER((3*T19/(PI()*2)),1/3))</f>
        <v>#VALUE!</v>
      </c>
      <c r="E57" s="240" t="e">
        <f>(T19)*(VLOOKUP(D7,Bd!A1:L49,12))</f>
        <v>#VALUE!</v>
      </c>
      <c r="F57" s="241"/>
      <c r="G57" s="241"/>
      <c r="H57" s="242" t="s">
        <v>13</v>
      </c>
      <c r="I57" s="40"/>
      <c r="J57" s="40"/>
      <c r="K57" s="40"/>
      <c r="L57" s="40"/>
      <c r="M57" s="81"/>
      <c r="N57" s="40"/>
      <c r="O57" s="40"/>
      <c r="P57" s="80"/>
      <c r="Q57" s="192"/>
      <c r="R57" s="40"/>
      <c r="S57" s="40"/>
      <c r="T57" s="40"/>
      <c r="U57" s="40"/>
      <c r="V57" s="180"/>
      <c r="W57" s="19"/>
      <c r="X57" s="82"/>
      <c r="Y57" s="172"/>
      <c r="Z57" s="173"/>
      <c r="AA57" s="174"/>
      <c r="AC57" s="82"/>
      <c r="AD57" s="225"/>
      <c r="AF57" s="84" t="s">
        <v>196</v>
      </c>
      <c r="AG57" s="226"/>
      <c r="AH57" s="226" t="s">
        <v>111</v>
      </c>
      <c r="AI57" s="226"/>
    </row>
    <row r="58" spans="1:38" ht="13.5" thickBot="1" x14ac:dyDescent="0.3">
      <c r="V58" s="18"/>
      <c r="W58" s="19"/>
      <c r="X58" s="82"/>
      <c r="Y58" s="82"/>
      <c r="Z58" s="82"/>
      <c r="AA58" s="82"/>
      <c r="AB58" s="82"/>
      <c r="AC58" s="82"/>
      <c r="AD58" s="225"/>
      <c r="AE58" s="82"/>
      <c r="AF58" s="82"/>
      <c r="AG58" s="82"/>
      <c r="AH58" s="82"/>
      <c r="AI58" s="82"/>
      <c r="AJ58" s="82"/>
      <c r="AK58" s="82"/>
      <c r="AL58" s="82"/>
    </row>
    <row r="59" spans="1:38" ht="15" customHeight="1" x14ac:dyDescent="0.25">
      <c r="R59" s="375" t="s">
        <v>227</v>
      </c>
      <c r="S59" s="376"/>
      <c r="T59" s="376"/>
      <c r="U59" s="193"/>
      <c r="V59" s="194"/>
      <c r="W59" s="19"/>
      <c r="X59" s="82"/>
      <c r="Y59" s="82"/>
      <c r="Z59" s="82"/>
      <c r="AA59" s="82"/>
      <c r="AB59" s="82"/>
      <c r="AC59" s="82"/>
      <c r="AD59" s="225"/>
      <c r="AE59" s="82"/>
      <c r="AF59" s="82" t="s">
        <v>35</v>
      </c>
      <c r="AG59" s="82" t="s">
        <v>34</v>
      </c>
      <c r="AH59" s="82" t="s">
        <v>35</v>
      </c>
      <c r="AI59" s="82" t="s">
        <v>34</v>
      </c>
      <c r="AJ59" s="82"/>
      <c r="AK59" s="82"/>
      <c r="AL59" s="82"/>
    </row>
    <row r="60" spans="1:38" ht="15.75" thickBot="1" x14ac:dyDescent="0.3">
      <c r="R60" s="377"/>
      <c r="S60" s="378"/>
      <c r="T60" s="378"/>
      <c r="U60" s="195"/>
      <c r="V60" s="196"/>
      <c r="W60" s="19"/>
      <c r="X60" s="82"/>
      <c r="Y60" s="82"/>
      <c r="Z60" s="82"/>
      <c r="AA60" s="82"/>
      <c r="AB60" s="82"/>
      <c r="AC60" s="82"/>
      <c r="AD60" s="225"/>
      <c r="AE60" s="82" t="s">
        <v>57</v>
      </c>
      <c r="AF60" s="169">
        <v>1E-3</v>
      </c>
      <c r="AG60" s="168">
        <f>AG9</f>
        <v>0.23460088259239162</v>
      </c>
      <c r="AH60" s="169">
        <v>1E-3</v>
      </c>
      <c r="AI60" s="227" t="e">
        <f>AG11</f>
        <v>#VALUE!</v>
      </c>
      <c r="AJ60" s="82"/>
      <c r="AK60" s="82"/>
      <c r="AL60" s="82"/>
    </row>
    <row r="61" spans="1:38" ht="15" customHeight="1" x14ac:dyDescent="0.25">
      <c r="R61" s="367" t="s">
        <v>211</v>
      </c>
      <c r="S61" s="368"/>
      <c r="T61" s="303" t="s">
        <v>110</v>
      </c>
      <c r="U61" s="303" t="s">
        <v>109</v>
      </c>
      <c r="V61" s="337"/>
      <c r="W61" s="19"/>
      <c r="X61" s="82"/>
      <c r="Y61" s="82"/>
      <c r="Z61" s="82"/>
      <c r="AA61" s="82"/>
      <c r="AB61" s="82"/>
      <c r="AC61" s="82"/>
      <c r="AD61" s="225"/>
      <c r="AE61" s="168"/>
      <c r="AF61" s="169">
        <v>10</v>
      </c>
      <c r="AG61" s="168">
        <f>AG9</f>
        <v>0.23460088259239162</v>
      </c>
      <c r="AH61" s="169">
        <v>10</v>
      </c>
      <c r="AI61" s="227" t="e">
        <f>AG11</f>
        <v>#VALUE!</v>
      </c>
      <c r="AJ61" s="82"/>
      <c r="AK61" s="82"/>
      <c r="AL61" s="82"/>
    </row>
    <row r="62" spans="1:38" ht="15" x14ac:dyDescent="0.25">
      <c r="R62" s="369"/>
      <c r="S62" s="370"/>
      <c r="T62" s="304"/>
      <c r="U62" s="304"/>
      <c r="V62" s="338"/>
      <c r="W62" s="19"/>
      <c r="X62" s="82"/>
      <c r="Y62" s="82"/>
      <c r="Z62" s="82"/>
      <c r="AA62" s="82"/>
      <c r="AB62" s="82"/>
      <c r="AC62" s="82"/>
      <c r="AD62" s="82"/>
      <c r="AE62" s="82" t="s">
        <v>104</v>
      </c>
      <c r="AF62" s="169">
        <f>D39/1000</f>
        <v>0.5</v>
      </c>
      <c r="AG62" s="227">
        <v>0.1</v>
      </c>
      <c r="AH62" s="169">
        <f>D39/1000</f>
        <v>0.5</v>
      </c>
      <c r="AI62" s="227">
        <v>0.1</v>
      </c>
      <c r="AJ62" s="82"/>
      <c r="AK62" s="82"/>
      <c r="AL62" s="82"/>
    </row>
    <row r="63" spans="1:38" ht="15" customHeight="1" x14ac:dyDescent="0.25">
      <c r="R63" s="317" t="s">
        <v>217</v>
      </c>
      <c r="S63" s="304"/>
      <c r="T63" s="313">
        <v>4</v>
      </c>
      <c r="U63" s="313">
        <v>6</v>
      </c>
      <c r="V63" s="314"/>
      <c r="W63" s="19"/>
      <c r="X63" s="82"/>
      <c r="Y63" s="82"/>
      <c r="Z63" s="82"/>
      <c r="AA63" s="82"/>
      <c r="AB63" s="82"/>
      <c r="AC63" s="82"/>
      <c r="AD63" s="225"/>
      <c r="AE63" s="82"/>
      <c r="AF63" s="169">
        <f>D39/1000</f>
        <v>0.5</v>
      </c>
      <c r="AG63" s="168">
        <v>100</v>
      </c>
      <c r="AH63" s="169">
        <f>D39/1000</f>
        <v>0.5</v>
      </c>
      <c r="AI63" s="168">
        <v>100</v>
      </c>
      <c r="AJ63" s="82"/>
      <c r="AK63" s="82"/>
      <c r="AL63" s="82"/>
    </row>
    <row r="64" spans="1:38" ht="15.75" customHeight="1" x14ac:dyDescent="0.25">
      <c r="R64" s="317"/>
      <c r="S64" s="304"/>
      <c r="T64" s="313"/>
      <c r="U64" s="313"/>
      <c r="V64" s="314"/>
      <c r="W64" s="19"/>
      <c r="X64" s="82"/>
      <c r="Y64" s="82"/>
      <c r="Z64" s="82"/>
      <c r="AA64" s="82"/>
      <c r="AB64" s="82"/>
      <c r="AC64" s="82"/>
      <c r="AD64" s="225"/>
      <c r="AE64" s="82"/>
      <c r="AF64" s="82" t="s">
        <v>102</v>
      </c>
      <c r="AG64" s="82">
        <f>IF(Indice!C18=0, "Non atteint", Indice!C18)</f>
        <v>20</v>
      </c>
      <c r="AH64" s="82">
        <f>IF(Indice!C41=0, "Non atteint", Indice!C41)</f>
        <v>20</v>
      </c>
      <c r="AI64" s="82"/>
      <c r="AJ64" s="82"/>
      <c r="AK64" s="82"/>
      <c r="AL64" s="82"/>
    </row>
    <row r="65" spans="13:38" ht="12.75" customHeight="1" x14ac:dyDescent="0.25">
      <c r="R65" s="317"/>
      <c r="S65" s="304"/>
      <c r="T65" s="313"/>
      <c r="U65" s="313"/>
      <c r="V65" s="314"/>
      <c r="W65" s="19"/>
      <c r="X65" s="82"/>
      <c r="Y65" s="82"/>
      <c r="Z65" s="82"/>
      <c r="AA65" s="82"/>
      <c r="AB65" s="82"/>
      <c r="AC65" s="82"/>
      <c r="AD65" s="225"/>
      <c r="AE65" s="82"/>
      <c r="AF65" s="82" t="s">
        <v>102</v>
      </c>
      <c r="AH65" s="82"/>
      <c r="AI65" s="82"/>
      <c r="AJ65" s="82"/>
      <c r="AK65" s="82"/>
      <c r="AL65" s="82"/>
    </row>
    <row r="66" spans="13:38" ht="15" customHeight="1" x14ac:dyDescent="0.25">
      <c r="R66" s="317" t="s">
        <v>218</v>
      </c>
      <c r="S66" s="304"/>
      <c r="T66" s="313">
        <v>6</v>
      </c>
      <c r="U66" s="313">
        <v>10</v>
      </c>
      <c r="V66" s="314"/>
      <c r="W66" s="19"/>
      <c r="X66" s="82"/>
      <c r="Y66" s="82"/>
      <c r="Z66" s="82"/>
      <c r="AA66" s="82"/>
      <c r="AB66" s="82"/>
      <c r="AC66" s="82"/>
      <c r="AD66" s="225"/>
      <c r="AE66" s="82"/>
      <c r="AF66" s="169"/>
      <c r="AG66" s="168"/>
      <c r="AH66" s="82"/>
      <c r="AI66" s="82"/>
      <c r="AJ66" s="82"/>
      <c r="AK66" s="82"/>
      <c r="AL66" s="82"/>
    </row>
    <row r="67" spans="13:38" ht="15" customHeight="1" x14ac:dyDescent="0.25">
      <c r="M67" s="18"/>
      <c r="N67" s="18"/>
      <c r="O67" s="18"/>
      <c r="P67" s="20"/>
      <c r="Q67" s="20"/>
      <c r="R67" s="317"/>
      <c r="S67" s="304"/>
      <c r="T67" s="313"/>
      <c r="U67" s="313"/>
      <c r="V67" s="314"/>
      <c r="W67" s="19"/>
      <c r="X67" s="82"/>
      <c r="Y67" s="82"/>
      <c r="Z67" s="82"/>
      <c r="AA67" s="82"/>
      <c r="AB67" s="82"/>
      <c r="AC67" s="82"/>
      <c r="AD67" s="225"/>
      <c r="AE67" s="82"/>
      <c r="AF67" s="169"/>
      <c r="AG67" s="168"/>
      <c r="AH67" s="82"/>
      <c r="AI67" s="82"/>
      <c r="AJ67" s="82"/>
      <c r="AK67" s="82"/>
      <c r="AL67" s="82"/>
    </row>
    <row r="68" spans="13:38" ht="15.75" customHeight="1" thickBot="1" x14ac:dyDescent="0.3">
      <c r="M68" s="18"/>
      <c r="N68" s="18"/>
      <c r="O68" s="18"/>
      <c r="P68" s="20"/>
      <c r="Q68" s="20"/>
      <c r="R68" s="318"/>
      <c r="S68" s="319"/>
      <c r="T68" s="315"/>
      <c r="U68" s="315"/>
      <c r="V68" s="316"/>
      <c r="W68" s="19"/>
      <c r="X68" s="82"/>
      <c r="Y68" s="82"/>
      <c r="Z68" s="82"/>
      <c r="AA68" s="82"/>
      <c r="AB68" s="82"/>
      <c r="AC68" s="82"/>
      <c r="AD68" s="225"/>
      <c r="AE68" s="82"/>
      <c r="AF68" s="169"/>
      <c r="AG68" s="168"/>
      <c r="AH68" s="82"/>
      <c r="AI68" s="82"/>
      <c r="AJ68" s="82"/>
      <c r="AK68" s="82"/>
      <c r="AL68" s="82"/>
    </row>
    <row r="69" spans="13:38" ht="15.75" customHeight="1" x14ac:dyDescent="0.25">
      <c r="M69" s="18"/>
      <c r="N69" s="18"/>
      <c r="O69" s="18"/>
      <c r="P69" s="20"/>
      <c r="Q69" s="20"/>
      <c r="R69" s="88"/>
      <c r="S69" s="74"/>
      <c r="T69" s="74"/>
      <c r="U69" s="74"/>
      <c r="V69" s="79"/>
      <c r="W69" s="19"/>
      <c r="X69" s="82"/>
      <c r="Y69" s="82"/>
      <c r="Z69" s="82"/>
      <c r="AA69" s="82"/>
      <c r="AB69" s="82"/>
      <c r="AC69" s="82"/>
      <c r="AD69" s="225"/>
      <c r="AE69" s="82"/>
      <c r="AF69" s="169"/>
      <c r="AG69" s="168"/>
      <c r="AH69" s="82"/>
      <c r="AI69" s="82"/>
      <c r="AJ69" s="82"/>
      <c r="AK69" s="82"/>
      <c r="AL69" s="82"/>
    </row>
    <row r="70" spans="13:38" ht="15.75" customHeight="1" thickBot="1" x14ac:dyDescent="0.3">
      <c r="M70" s="18"/>
      <c r="N70" s="18"/>
      <c r="O70" s="18"/>
      <c r="P70" s="20"/>
      <c r="Q70" s="20"/>
      <c r="R70" s="88"/>
      <c r="S70" s="74"/>
      <c r="T70" s="74"/>
      <c r="U70" s="74"/>
      <c r="V70" s="79"/>
      <c r="W70" s="19"/>
      <c r="X70" s="82"/>
      <c r="Y70" s="82"/>
      <c r="Z70" s="82"/>
      <c r="AA70" s="82"/>
      <c r="AB70" s="82"/>
      <c r="AC70" s="82"/>
      <c r="AD70" s="225"/>
      <c r="AE70" s="82"/>
      <c r="AF70" s="82"/>
      <c r="AG70" s="82"/>
      <c r="AH70" s="82"/>
      <c r="AI70" s="82"/>
      <c r="AJ70" s="82"/>
      <c r="AK70" s="82"/>
      <c r="AL70" s="82"/>
    </row>
    <row r="71" spans="13:38" ht="15.75" customHeight="1" x14ac:dyDescent="0.25">
      <c r="M71" s="18"/>
      <c r="N71" s="18"/>
      <c r="O71" s="18"/>
      <c r="P71" s="20"/>
      <c r="Q71" s="20"/>
      <c r="R71" s="305" t="s">
        <v>214</v>
      </c>
      <c r="S71" s="306"/>
      <c r="T71" s="306"/>
      <c r="U71" s="306"/>
      <c r="V71" s="307"/>
      <c r="W71" s="82"/>
      <c r="X71" s="166"/>
      <c r="Y71" s="166"/>
      <c r="Z71" s="166"/>
      <c r="AA71" s="82"/>
      <c r="AB71" s="167"/>
      <c r="AC71" s="82"/>
      <c r="AD71" s="82"/>
      <c r="AE71" s="82"/>
      <c r="AF71" s="82"/>
      <c r="AG71" s="82"/>
      <c r="AH71" s="82"/>
      <c r="AI71" s="82"/>
      <c r="AL71" s="82"/>
    </row>
    <row r="72" spans="13:38" ht="15.75" customHeight="1" thickBot="1" x14ac:dyDescent="0.3">
      <c r="M72" s="18"/>
      <c r="N72" s="18"/>
      <c r="O72" s="18"/>
      <c r="R72" s="308"/>
      <c r="S72" s="309"/>
      <c r="T72" s="309"/>
      <c r="U72" s="309"/>
      <c r="V72" s="310"/>
      <c r="W72" s="82"/>
      <c r="X72" s="289" t="s">
        <v>72</v>
      </c>
      <c r="Y72" s="289"/>
      <c r="Z72" s="216"/>
      <c r="AA72" s="82"/>
      <c r="AB72" s="167">
        <f>(B43/1000*D9)</f>
        <v>2.0299999999999999E-2</v>
      </c>
      <c r="AC72" s="82"/>
      <c r="AD72" s="82" t="s">
        <v>6</v>
      </c>
      <c r="AE72" s="82"/>
      <c r="AF72" s="166" t="s">
        <v>7</v>
      </c>
      <c r="AG72" s="82"/>
      <c r="AH72" s="167">
        <f>VLOOKUP(AE7,Indice!B1:AE13,AE7,TRUE)</f>
        <v>1.8E-3</v>
      </c>
      <c r="AI72" s="82" t="s">
        <v>6</v>
      </c>
      <c r="AL72" s="82"/>
    </row>
    <row r="73" spans="13:38" ht="15.75" customHeight="1" x14ac:dyDescent="0.25">
      <c r="M73" s="18"/>
      <c r="N73" s="18"/>
      <c r="O73" s="18"/>
      <c r="R73" s="333" t="s">
        <v>123</v>
      </c>
      <c r="S73" s="334"/>
      <c r="T73" s="335" t="s">
        <v>121</v>
      </c>
      <c r="U73" s="335"/>
      <c r="V73" s="336"/>
      <c r="W73" s="82"/>
      <c r="X73" s="166"/>
      <c r="Y73" s="166"/>
      <c r="Z73" s="166"/>
      <c r="AA73" s="82"/>
      <c r="AB73" s="167"/>
      <c r="AC73" s="82"/>
      <c r="AD73" s="82"/>
      <c r="AE73" s="82"/>
      <c r="AF73" s="82"/>
      <c r="AG73" s="82"/>
      <c r="AH73" s="82"/>
      <c r="AI73" s="82"/>
      <c r="AJ73" s="82"/>
      <c r="AK73" s="82"/>
      <c r="AL73" s="82"/>
    </row>
    <row r="74" spans="13:38" ht="15.75" customHeight="1" x14ac:dyDescent="0.25">
      <c r="M74" s="18"/>
      <c r="N74" s="18"/>
      <c r="O74" s="18"/>
      <c r="R74" s="293"/>
      <c r="S74" s="294"/>
      <c r="T74" s="298"/>
      <c r="U74" s="298"/>
      <c r="V74" s="299"/>
      <c r="W74" s="82"/>
      <c r="X74" s="289" t="s">
        <v>9</v>
      </c>
      <c r="Y74" s="289"/>
      <c r="Z74" s="216"/>
      <c r="AA74" s="82"/>
      <c r="AB74" s="167"/>
      <c r="AC74" s="82"/>
      <c r="AD74" s="82" t="s">
        <v>14</v>
      </c>
      <c r="AE74" s="82"/>
      <c r="AF74" s="166" t="s">
        <v>8</v>
      </c>
      <c r="AG74" s="82"/>
      <c r="AH74" s="167"/>
      <c r="AI74" s="82"/>
      <c r="AJ74" s="82"/>
      <c r="AK74" s="82"/>
      <c r="AL74" s="82"/>
    </row>
    <row r="75" spans="13:38" ht="15.75" customHeight="1" x14ac:dyDescent="0.25">
      <c r="M75" s="18"/>
      <c r="N75" s="18"/>
      <c r="O75" s="18"/>
      <c r="P75" s="20"/>
      <c r="Q75" s="20"/>
      <c r="R75" s="293" t="s">
        <v>113</v>
      </c>
      <c r="S75" s="294"/>
      <c r="T75" s="294" t="s">
        <v>216</v>
      </c>
      <c r="U75" s="294"/>
      <c r="V75" s="295"/>
      <c r="W75" s="82"/>
      <c r="X75" s="166"/>
      <c r="Y75" s="166"/>
      <c r="Z75" s="166"/>
      <c r="AA75" s="82"/>
      <c r="AB75" s="167"/>
      <c r="AC75" s="82"/>
      <c r="AD75" s="82"/>
      <c r="AE75" s="82"/>
      <c r="AF75" s="82"/>
      <c r="AG75" s="82"/>
      <c r="AH75" s="82"/>
      <c r="AI75" s="82"/>
      <c r="AJ75" s="82"/>
      <c r="AK75" s="82"/>
      <c r="AL75" s="82"/>
    </row>
    <row r="76" spans="13:38" ht="15.75" customHeight="1" x14ac:dyDescent="0.25">
      <c r="R76" s="293"/>
      <c r="S76" s="294"/>
      <c r="T76" s="294"/>
      <c r="U76" s="294"/>
      <c r="V76" s="295"/>
      <c r="W76" s="82"/>
      <c r="X76" s="289" t="s">
        <v>10</v>
      </c>
      <c r="Y76" s="289"/>
      <c r="Z76" s="216"/>
      <c r="AA76" s="82"/>
      <c r="AB76" s="167"/>
      <c r="AC76" s="82"/>
      <c r="AD76" s="82" t="s">
        <v>15</v>
      </c>
      <c r="AE76" s="82"/>
      <c r="AF76" s="166" t="s">
        <v>11</v>
      </c>
      <c r="AG76" s="82"/>
      <c r="AH76" s="167"/>
      <c r="AI76" s="82"/>
      <c r="AJ76" s="82"/>
      <c r="AK76" s="82"/>
      <c r="AL76" s="82"/>
    </row>
    <row r="77" spans="13:38" ht="15.75" customHeight="1" x14ac:dyDescent="0.25">
      <c r="R77" s="293" t="s">
        <v>96</v>
      </c>
      <c r="S77" s="294"/>
      <c r="T77" s="294" t="s">
        <v>122</v>
      </c>
      <c r="U77" s="294"/>
      <c r="V77" s="295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</row>
    <row r="78" spans="13:38" ht="15.75" customHeight="1" x14ac:dyDescent="0.25">
      <c r="R78" s="293"/>
      <c r="S78" s="294"/>
      <c r="T78" s="294"/>
      <c r="U78" s="294"/>
      <c r="V78" s="295"/>
      <c r="W78" s="82"/>
      <c r="X78" s="289" t="s">
        <v>12</v>
      </c>
      <c r="Y78" s="289"/>
      <c r="Z78" s="216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</row>
    <row r="79" spans="13:38" ht="15.75" customHeight="1" x14ac:dyDescent="0.25">
      <c r="R79" s="293" t="s">
        <v>114</v>
      </c>
      <c r="S79" s="294"/>
      <c r="T79" s="294" t="s">
        <v>119</v>
      </c>
      <c r="U79" s="294"/>
      <c r="V79" s="295"/>
      <c r="W79" s="19"/>
      <c r="X79" s="82"/>
      <c r="Y79" s="82"/>
      <c r="Z79" s="82"/>
      <c r="AA79" s="82"/>
      <c r="AB79" s="82"/>
      <c r="AC79" s="82"/>
      <c r="AD79" s="225"/>
      <c r="AE79" s="82"/>
      <c r="AF79" s="82"/>
      <c r="AG79" s="82"/>
      <c r="AH79" s="82"/>
      <c r="AI79" s="82"/>
      <c r="AJ79" s="82"/>
      <c r="AK79" s="82"/>
      <c r="AL79" s="82"/>
    </row>
    <row r="80" spans="13:38" x14ac:dyDescent="0.25">
      <c r="R80" s="293"/>
      <c r="S80" s="294"/>
      <c r="T80" s="294"/>
      <c r="U80" s="294"/>
      <c r="V80" s="295"/>
      <c r="W80" s="19"/>
      <c r="X80" s="82"/>
      <c r="Y80" s="82"/>
      <c r="Z80" s="82"/>
      <c r="AA80" s="82"/>
      <c r="AB80" s="82"/>
      <c r="AC80" s="82"/>
      <c r="AD80" s="225"/>
      <c r="AE80" s="82"/>
      <c r="AF80" s="82"/>
      <c r="AG80" s="82"/>
      <c r="AH80" s="82"/>
      <c r="AI80" s="82"/>
      <c r="AJ80" s="82"/>
      <c r="AK80" s="82"/>
      <c r="AL80" s="82"/>
    </row>
    <row r="81" spans="16:22" x14ac:dyDescent="0.25">
      <c r="R81" s="293"/>
      <c r="S81" s="294"/>
      <c r="T81" s="294"/>
      <c r="U81" s="294"/>
      <c r="V81" s="295"/>
    </row>
    <row r="82" spans="16:22" x14ac:dyDescent="0.25">
      <c r="R82" s="293"/>
      <c r="S82" s="294"/>
      <c r="T82" s="294"/>
      <c r="U82" s="294"/>
      <c r="V82" s="295"/>
    </row>
    <row r="83" spans="16:22" ht="12.75" customHeight="1" x14ac:dyDescent="0.25">
      <c r="R83" s="293" t="s">
        <v>115</v>
      </c>
      <c r="S83" s="294"/>
      <c r="T83" s="294" t="s">
        <v>120</v>
      </c>
      <c r="U83" s="294"/>
      <c r="V83" s="295"/>
    </row>
    <row r="84" spans="16:22" x14ac:dyDescent="0.25">
      <c r="R84" s="293"/>
      <c r="S84" s="294"/>
      <c r="T84" s="294"/>
      <c r="U84" s="294"/>
      <c r="V84" s="295"/>
    </row>
    <row r="85" spans="16:22" ht="12.75" customHeight="1" x14ac:dyDescent="0.25">
      <c r="R85" s="293" t="s">
        <v>116</v>
      </c>
      <c r="S85" s="294"/>
      <c r="T85" s="294" t="s">
        <v>215</v>
      </c>
      <c r="U85" s="294"/>
      <c r="V85" s="295"/>
    </row>
    <row r="86" spans="16:22" x14ac:dyDescent="0.25">
      <c r="R86" s="293"/>
      <c r="S86" s="294"/>
      <c r="T86" s="294"/>
      <c r="U86" s="294"/>
      <c r="V86" s="295"/>
    </row>
    <row r="87" spans="16:22" ht="13.5" customHeight="1" x14ac:dyDescent="0.25">
      <c r="R87" s="293" t="s">
        <v>117</v>
      </c>
      <c r="S87" s="294"/>
      <c r="T87" s="298" t="s">
        <v>118</v>
      </c>
      <c r="U87" s="298"/>
      <c r="V87" s="299"/>
    </row>
    <row r="88" spans="16:22" ht="13.5" thickBot="1" x14ac:dyDescent="0.3">
      <c r="R88" s="296"/>
      <c r="S88" s="297"/>
      <c r="T88" s="300"/>
      <c r="U88" s="300"/>
      <c r="V88" s="301"/>
    </row>
    <row r="94" spans="16:22" ht="25.5" customHeight="1" x14ac:dyDescent="0.25">
      <c r="P94" s="34" t="s">
        <v>57</v>
      </c>
      <c r="Q94" s="112"/>
      <c r="R94" s="5"/>
      <c r="S94" s="163">
        <f>AG9</f>
        <v>0.23460088259239162</v>
      </c>
    </row>
    <row r="95" spans="16:22" x14ac:dyDescent="0.25">
      <c r="P95" s="46"/>
      <c r="Q95" s="107"/>
      <c r="R95" s="5"/>
    </row>
    <row r="96" spans="16:22" ht="25.5" customHeight="1" x14ac:dyDescent="0.25">
      <c r="P96" s="290" t="s">
        <v>105</v>
      </c>
      <c r="Q96" s="291"/>
      <c r="R96" s="292"/>
      <c r="S96" s="164">
        <f>D37</f>
        <v>130</v>
      </c>
      <c r="T96" s="5" t="s">
        <v>5</v>
      </c>
      <c r="U96" s="5"/>
    </row>
    <row r="97" spans="16:21" x14ac:dyDescent="0.25">
      <c r="P97" s="17"/>
      <c r="Q97" s="107"/>
      <c r="R97" s="23"/>
      <c r="S97" s="5"/>
      <c r="T97" s="5"/>
      <c r="U97" s="5"/>
    </row>
    <row r="98" spans="16:21" ht="25.5" customHeight="1" x14ac:dyDescent="0.25">
      <c r="P98" s="290" t="s">
        <v>106</v>
      </c>
      <c r="Q98" s="291"/>
      <c r="R98" s="292"/>
      <c r="S98" s="165">
        <f>D39</f>
        <v>500</v>
      </c>
      <c r="T98" s="19" t="s">
        <v>6</v>
      </c>
      <c r="U98" s="19"/>
    </row>
  </sheetData>
  <sheetProtection sheet="1" objects="1" scenarios="1"/>
  <mergeCells count="60">
    <mergeCell ref="B31:P31"/>
    <mergeCell ref="R61:S62"/>
    <mergeCell ref="B32:H32"/>
    <mergeCell ref="B41:D41"/>
    <mergeCell ref="R59:T60"/>
    <mergeCell ref="B55:C55"/>
    <mergeCell ref="B57:C57"/>
    <mergeCell ref="E53:H53"/>
    <mergeCell ref="B1:U1"/>
    <mergeCell ref="U63:V65"/>
    <mergeCell ref="R73:S74"/>
    <mergeCell ref="T73:V74"/>
    <mergeCell ref="R15:S15"/>
    <mergeCell ref="U61:V62"/>
    <mergeCell ref="D34:E34"/>
    <mergeCell ref="D35:E35"/>
    <mergeCell ref="H34:I34"/>
    <mergeCell ref="B2:V4"/>
    <mergeCell ref="J5:V5"/>
    <mergeCell ref="B5:H5"/>
    <mergeCell ref="D7:E7"/>
    <mergeCell ref="J7:K7"/>
    <mergeCell ref="H7:I7"/>
    <mergeCell ref="T7:V7"/>
    <mergeCell ref="R7:S7"/>
    <mergeCell ref="R13:S13"/>
    <mergeCell ref="P11:P13"/>
    <mergeCell ref="J9:K9"/>
    <mergeCell ref="M19:N19"/>
    <mergeCell ref="R17:S17"/>
    <mergeCell ref="R9:S9"/>
    <mergeCell ref="R11:S11"/>
    <mergeCell ref="R19:S19"/>
    <mergeCell ref="AA27:AC27"/>
    <mergeCell ref="T61:T62"/>
    <mergeCell ref="X72:Y72"/>
    <mergeCell ref="X74:Y74"/>
    <mergeCell ref="X76:Y76"/>
    <mergeCell ref="T75:V76"/>
    <mergeCell ref="R71:V72"/>
    <mergeCell ref="R31:V31"/>
    <mergeCell ref="T63:T65"/>
    <mergeCell ref="U66:V68"/>
    <mergeCell ref="T66:T68"/>
    <mergeCell ref="R66:S68"/>
    <mergeCell ref="R63:S65"/>
    <mergeCell ref="R75:S76"/>
    <mergeCell ref="X78:Y78"/>
    <mergeCell ref="P98:R98"/>
    <mergeCell ref="P96:R96"/>
    <mergeCell ref="R77:S78"/>
    <mergeCell ref="T77:V78"/>
    <mergeCell ref="R79:S82"/>
    <mergeCell ref="T79:V82"/>
    <mergeCell ref="R83:S84"/>
    <mergeCell ref="T83:V84"/>
    <mergeCell ref="R85:S86"/>
    <mergeCell ref="T85:V86"/>
    <mergeCell ref="R87:S88"/>
    <mergeCell ref="T87:V88"/>
  </mergeCells>
  <conditionalFormatting sqref="P14:P17 P11 M11:O17">
    <cfRule type="cellIs" dxfId="33" priority="54" operator="equal">
      <formula>1</formula>
    </cfRule>
    <cfRule type="colorScale" priority="57">
      <colorScale>
        <cfvo type="num" val="1"/>
        <cfvo type="max"/>
        <color rgb="FFFF7128"/>
        <color rgb="FFFFEF9C"/>
      </colorScale>
    </cfRule>
    <cfRule type="cellIs" dxfId="32" priority="58" operator="equal">
      <formula>1</formula>
    </cfRule>
  </conditionalFormatting>
  <conditionalFormatting sqref="P11 K13:N21 P19 P14:P17 J11:K19 M11:O17">
    <cfRule type="cellIs" dxfId="31" priority="55" operator="equal">
      <formula>1</formula>
    </cfRule>
  </conditionalFormatting>
  <conditionalFormatting sqref="N11:O13 P11 M11:N17">
    <cfRule type="cellIs" dxfId="30" priority="53" operator="equal">
      <formula>2</formula>
    </cfRule>
  </conditionalFormatting>
  <conditionalFormatting sqref="N11:O13 M11:P11 M11:N17">
    <cfRule type="cellIs" dxfId="29" priority="52" operator="equal">
      <formula>2</formula>
    </cfRule>
  </conditionalFormatting>
  <conditionalFormatting sqref="P14:P16 P11 M19 N11:O16 M17:P17 P19 M11:N17">
    <cfRule type="cellIs" dxfId="28" priority="50" operator="equal">
      <formula>3</formula>
    </cfRule>
  </conditionalFormatting>
  <conditionalFormatting sqref="M19:N19 M12:N16">
    <cfRule type="cellIs" dxfId="27" priority="49" operator="equal">
      <formula>3</formula>
    </cfRule>
  </conditionalFormatting>
  <conditionalFormatting sqref="P19">
    <cfRule type="cellIs" dxfId="26" priority="45" operator="equal">
      <formula>1</formula>
    </cfRule>
    <cfRule type="cellIs" dxfId="25" priority="46" operator="equal">
      <formula>2</formula>
    </cfRule>
    <cfRule type="colorScale" priority="47">
      <colorScale>
        <cfvo type="num" val="1"/>
        <cfvo type="max"/>
        <color rgb="FFFF7128"/>
        <color rgb="FFFFEF9C"/>
      </colorScale>
    </cfRule>
    <cfRule type="cellIs" dxfId="24" priority="48" operator="equal">
      <formula>1</formula>
    </cfRule>
  </conditionalFormatting>
  <conditionalFormatting sqref="M19">
    <cfRule type="cellIs" dxfId="23" priority="39" operator="equal">
      <formula>1</formula>
    </cfRule>
    <cfRule type="cellIs" dxfId="22" priority="40" operator="equal">
      <formula>2</formula>
    </cfRule>
    <cfRule type="colorScale" priority="41">
      <colorScale>
        <cfvo type="num" val="1"/>
        <cfvo type="max"/>
        <color rgb="FFFF7128"/>
        <color rgb="FFFFEF9C"/>
      </colorScale>
    </cfRule>
    <cfRule type="cellIs" dxfId="21" priority="42" operator="equal">
      <formula>1</formula>
    </cfRule>
  </conditionalFormatting>
  <conditionalFormatting sqref="M19 P19">
    <cfRule type="cellIs" dxfId="20" priority="36" operator="equal">
      <formula>1</formula>
    </cfRule>
  </conditionalFormatting>
  <conditionalFormatting sqref="M19">
    <cfRule type="cellIs" dxfId="19" priority="33" operator="equal">
      <formula>3</formula>
    </cfRule>
    <cfRule type="cellIs" dxfId="18" priority="34" operator="equal">
      <formula>1</formula>
    </cfRule>
  </conditionalFormatting>
  <conditionalFormatting sqref="L19:N19 J11:K19">
    <cfRule type="cellIs" dxfId="17" priority="31" operator="equal">
      <formula>3</formula>
    </cfRule>
  </conditionalFormatting>
  <conditionalFormatting sqref="M11:N19">
    <cfRule type="cellIs" dxfId="16" priority="28" operator="equal">
      <formula>4</formula>
    </cfRule>
  </conditionalFormatting>
  <conditionalFormatting sqref="M13:N15">
    <cfRule type="cellIs" dxfId="15" priority="25" operator="equal">
      <formula>3</formula>
    </cfRule>
    <cfRule type="cellIs" dxfId="14" priority="26" operator="equal">
      <formula>3</formula>
    </cfRule>
  </conditionalFormatting>
  <conditionalFormatting sqref="M11:N17">
    <cfRule type="cellIs" dxfId="13" priority="23" stopIfTrue="1" operator="equal">
      <formula>3</formula>
    </cfRule>
  </conditionalFormatting>
  <conditionalFormatting sqref="T15">
    <cfRule type="expression" dxfId="12" priority="219" stopIfTrue="1">
      <formula>IF(OR(T7="totalement la zone encombrée",T7="une partie à L'INTERIEUR de la zone encombrée",T7="une ZONE LIBRE d'obstacles"),TRUE)</formula>
    </cfRule>
  </conditionalFormatting>
  <conditionalFormatting sqref="V15">
    <cfRule type="expression" dxfId="11" priority="220" stopIfTrue="1">
      <formula>IF(T7="recouvre partiellement la zone encombrée",TRUE)</formula>
    </cfRule>
  </conditionalFormatting>
  <conditionalFormatting sqref="H34:I34">
    <cfRule type="expression" dxfId="10" priority="12" stopIfTrue="1">
      <formula>IF(D34="je choisis l'indice",TRUE)</formula>
    </cfRule>
  </conditionalFormatting>
  <conditionalFormatting sqref="D35:E35">
    <cfRule type="expression" dxfId="9" priority="10" stopIfTrue="1">
      <formula>IF(D34=$Z$1,TRUE)</formula>
    </cfRule>
  </conditionalFormatting>
  <conditionalFormatting sqref="V11">
    <cfRule type="expression" dxfId="8" priority="9" stopIfTrue="1">
      <formula>IF($T$11&gt;$T$9,TRUE)</formula>
    </cfRule>
  </conditionalFormatting>
  <conditionalFormatting sqref="T9 T11">
    <cfRule type="expression" dxfId="7" priority="8" stopIfTrue="1">
      <formula>IF($T$7="une ZONE LIBRE d'obstacles",TRUE)</formula>
    </cfRule>
  </conditionalFormatting>
  <conditionalFormatting sqref="R19:U19">
    <cfRule type="expression" dxfId="6" priority="7">
      <formula>IF($T$7="est en ZONE LIBRE d'obstacles",TRUE)</formula>
    </cfRule>
  </conditionalFormatting>
  <conditionalFormatting sqref="T13">
    <cfRule type="expression" dxfId="5" priority="6">
      <formula>IF($T$7="une ZONE LIBRE d'obstacles",TRUE)</formula>
    </cfRule>
  </conditionalFormatting>
  <conditionalFormatting sqref="B57:H57">
    <cfRule type="expression" dxfId="4" priority="4">
      <formula>IF($B$32="Pour une explosion en zone libre",TRUE)</formula>
    </cfRule>
  </conditionalFormatting>
  <conditionalFormatting sqref="B55:H55">
    <cfRule type="expression" dxfId="3" priority="3">
      <formula>IF($B$32="Pour une explosion en zone encombrée",TRUE)</formula>
    </cfRule>
  </conditionalFormatting>
  <conditionalFormatting sqref="M17:N17 N15 M19">
    <cfRule type="cellIs" dxfId="2" priority="56" operator="equal">
      <formula>2</formula>
    </cfRule>
  </conditionalFormatting>
  <conditionalFormatting sqref="M17:N19 N15:N16">
    <cfRule type="cellIs" dxfId="1" priority="2" operator="equal">
      <formula>2</formula>
    </cfRule>
  </conditionalFormatting>
  <conditionalFormatting sqref="M17:N19 M11:N11 N12:N16">
    <cfRule type="cellIs" dxfId="0" priority="1" operator="equal">
      <formula>4</formula>
    </cfRule>
  </conditionalFormatting>
  <dataValidations count="5">
    <dataValidation type="list" allowBlank="1" showInputMessage="1" showErrorMessage="1" sqref="D35 H34">
      <formula1>val_indice</formula1>
    </dataValidation>
    <dataValidation type="list" allowBlank="1" showInputMessage="1" showErrorMessage="1" sqref="T7">
      <formula1>tx_recouvrement</formula1>
    </dataValidation>
    <dataValidation type="list" allowBlank="1" showInputMessage="1" showErrorMessage="1" sqref="AA27">
      <formula1>typo_zone</formula1>
    </dataValidation>
    <dataValidation type="list" allowBlank="1" showInputMessage="1" showErrorMessage="1" sqref="D7:F7">
      <formula1>nom</formula1>
    </dataValidation>
    <dataValidation type="list" allowBlank="1" showInputMessage="1" showErrorMessage="1" sqref="D34:E34">
      <formula1>$Z$1:$Z$2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5" fitToWidth="0" fitToHeight="2" orientation="landscape" r:id="rId1"/>
  <rowBreaks count="1" manualBreakCount="1">
    <brk id="57" min="1" max="21" man="1"/>
  </rowBreaks>
  <colBreaks count="1" manualBreakCount="1">
    <brk id="22" min="1" max="102" man="1"/>
  </colBreaks>
  <ignoredErrors>
    <ignoredError sqref="AE13 AG60:AG61 AH72" evalError="1"/>
    <ignoredError sqref="S96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1"/>
  <sheetViews>
    <sheetView workbookViewId="0">
      <selection activeCell="B13" sqref="B13:B21"/>
    </sheetView>
  </sheetViews>
  <sheetFormatPr baseColWidth="10" defaultRowHeight="15" x14ac:dyDescent="0.25"/>
  <cols>
    <col min="3" max="3" width="14.42578125" bestFit="1" customWidth="1"/>
    <col min="5" max="5" width="17.28515625" bestFit="1" customWidth="1"/>
    <col min="6" max="7" width="17.28515625" customWidth="1"/>
    <col min="8" max="8" width="14.85546875" bestFit="1" customWidth="1"/>
    <col min="9" max="9" width="10" bestFit="1" customWidth="1"/>
  </cols>
  <sheetData>
    <row r="2" spans="1:14" ht="15.75" thickBot="1" x14ac:dyDescent="0.3"/>
    <row r="3" spans="1:14" ht="41.25" thickTop="1" x14ac:dyDescent="0.25">
      <c r="B3" t="s">
        <v>133</v>
      </c>
      <c r="C3" t="s">
        <v>126</v>
      </c>
      <c r="D3" t="s">
        <v>131</v>
      </c>
      <c r="E3" t="s">
        <v>132</v>
      </c>
      <c r="F3" t="s">
        <v>142</v>
      </c>
      <c r="G3" t="s">
        <v>143</v>
      </c>
      <c r="H3" t="s">
        <v>134</v>
      </c>
      <c r="I3" t="s">
        <v>135</v>
      </c>
      <c r="J3" s="108" t="s">
        <v>127</v>
      </c>
      <c r="K3" s="108" t="s">
        <v>49</v>
      </c>
      <c r="L3" s="108" t="s">
        <v>48</v>
      </c>
      <c r="M3" s="108" t="s">
        <v>47</v>
      </c>
      <c r="N3" s="109" t="s">
        <v>128</v>
      </c>
    </row>
    <row r="4" spans="1:14" x14ac:dyDescent="0.25">
      <c r="A4" t="s">
        <v>144</v>
      </c>
      <c r="B4" t="s">
        <v>154</v>
      </c>
      <c r="C4" t="s">
        <v>129</v>
      </c>
      <c r="D4" t="s">
        <v>136</v>
      </c>
      <c r="E4" t="s">
        <v>141</v>
      </c>
      <c r="F4">
        <v>0.7</v>
      </c>
      <c r="G4">
        <f>F4*60</f>
        <v>42</v>
      </c>
    </row>
    <row r="5" spans="1:14" x14ac:dyDescent="0.25">
      <c r="A5" t="s">
        <v>145</v>
      </c>
      <c r="B5" t="s">
        <v>154</v>
      </c>
      <c r="C5" t="s">
        <v>129</v>
      </c>
      <c r="D5" t="s">
        <v>136</v>
      </c>
      <c r="E5" t="s">
        <v>155</v>
      </c>
      <c r="F5">
        <v>3</v>
      </c>
      <c r="G5">
        <f t="shared" ref="G5:G12" si="0">F5*60</f>
        <v>180</v>
      </c>
    </row>
    <row r="6" spans="1:14" x14ac:dyDescent="0.25">
      <c r="A6" t="s">
        <v>146</v>
      </c>
      <c r="B6" t="s">
        <v>154</v>
      </c>
      <c r="C6" t="s">
        <v>129</v>
      </c>
      <c r="D6" t="s">
        <v>136</v>
      </c>
      <c r="E6" t="s">
        <v>156</v>
      </c>
      <c r="F6">
        <v>6.5</v>
      </c>
      <c r="G6">
        <f t="shared" si="0"/>
        <v>390</v>
      </c>
    </row>
    <row r="7" spans="1:14" x14ac:dyDescent="0.25">
      <c r="A7" t="s">
        <v>147</v>
      </c>
      <c r="B7" t="s">
        <v>154</v>
      </c>
      <c r="C7" t="s">
        <v>130</v>
      </c>
      <c r="D7" t="s">
        <v>137</v>
      </c>
      <c r="E7" t="s">
        <v>141</v>
      </c>
      <c r="F7">
        <v>0.7</v>
      </c>
      <c r="G7">
        <f>F7*60</f>
        <v>42</v>
      </c>
    </row>
    <row r="8" spans="1:14" x14ac:dyDescent="0.25">
      <c r="A8" t="s">
        <v>148</v>
      </c>
      <c r="B8" t="s">
        <v>154</v>
      </c>
      <c r="C8" t="s">
        <v>130</v>
      </c>
      <c r="D8" t="s">
        <v>137</v>
      </c>
      <c r="E8" t="s">
        <v>155</v>
      </c>
      <c r="F8">
        <v>3</v>
      </c>
      <c r="G8">
        <f t="shared" si="0"/>
        <v>180</v>
      </c>
    </row>
    <row r="9" spans="1:14" x14ac:dyDescent="0.25">
      <c r="A9" t="s">
        <v>149</v>
      </c>
      <c r="B9" t="s">
        <v>154</v>
      </c>
      <c r="C9" t="s">
        <v>130</v>
      </c>
      <c r="D9" t="s">
        <v>137</v>
      </c>
      <c r="E9" t="s">
        <v>156</v>
      </c>
      <c r="F9">
        <v>6.5</v>
      </c>
      <c r="G9">
        <f t="shared" si="0"/>
        <v>390</v>
      </c>
    </row>
    <row r="10" spans="1:14" x14ac:dyDescent="0.25">
      <c r="A10" t="s">
        <v>150</v>
      </c>
      <c r="B10" t="s">
        <v>154</v>
      </c>
      <c r="C10" t="s">
        <v>139</v>
      </c>
      <c r="D10" t="s">
        <v>138</v>
      </c>
      <c r="E10" t="s">
        <v>141</v>
      </c>
      <c r="F10">
        <v>0.7</v>
      </c>
      <c r="G10">
        <f>F10*60</f>
        <v>42</v>
      </c>
    </row>
    <row r="11" spans="1:14" x14ac:dyDescent="0.25">
      <c r="A11" t="s">
        <v>151</v>
      </c>
      <c r="B11" t="s">
        <v>154</v>
      </c>
      <c r="C11" t="s">
        <v>139</v>
      </c>
      <c r="D11" t="s">
        <v>138</v>
      </c>
      <c r="E11" t="s">
        <v>155</v>
      </c>
      <c r="F11">
        <v>3</v>
      </c>
      <c r="G11">
        <f t="shared" si="0"/>
        <v>180</v>
      </c>
    </row>
    <row r="12" spans="1:14" x14ac:dyDescent="0.25">
      <c r="A12" t="s">
        <v>152</v>
      </c>
      <c r="B12" t="s">
        <v>154</v>
      </c>
      <c r="C12" t="s">
        <v>139</v>
      </c>
      <c r="D12" t="s">
        <v>138</v>
      </c>
      <c r="E12" t="s">
        <v>156</v>
      </c>
      <c r="F12">
        <v>6.5</v>
      </c>
      <c r="G12">
        <f t="shared" si="0"/>
        <v>390</v>
      </c>
    </row>
    <row r="13" spans="1:14" x14ac:dyDescent="0.25">
      <c r="A13" t="s">
        <v>153</v>
      </c>
      <c r="B13" t="s">
        <v>165</v>
      </c>
      <c r="C13" t="s">
        <v>129</v>
      </c>
      <c r="D13" t="s">
        <v>136</v>
      </c>
      <c r="E13" t="s">
        <v>141</v>
      </c>
    </row>
    <row r="14" spans="1:14" x14ac:dyDescent="0.25">
      <c r="A14" t="s">
        <v>157</v>
      </c>
      <c r="B14" t="s">
        <v>165</v>
      </c>
      <c r="C14" t="s">
        <v>129</v>
      </c>
      <c r="D14" t="s">
        <v>136</v>
      </c>
      <c r="E14" t="s">
        <v>155</v>
      </c>
    </row>
    <row r="15" spans="1:14" x14ac:dyDescent="0.25">
      <c r="A15" t="s">
        <v>158</v>
      </c>
      <c r="B15" t="s">
        <v>165</v>
      </c>
      <c r="C15" t="s">
        <v>129</v>
      </c>
      <c r="D15" t="s">
        <v>136</v>
      </c>
      <c r="E15" t="s">
        <v>156</v>
      </c>
    </row>
    <row r="16" spans="1:14" x14ac:dyDescent="0.25">
      <c r="A16" t="s">
        <v>159</v>
      </c>
      <c r="B16" t="s">
        <v>165</v>
      </c>
      <c r="C16" t="s">
        <v>130</v>
      </c>
      <c r="D16" t="s">
        <v>137</v>
      </c>
      <c r="E16" t="s">
        <v>141</v>
      </c>
    </row>
    <row r="17" spans="1:5" x14ac:dyDescent="0.25">
      <c r="A17" t="s">
        <v>160</v>
      </c>
      <c r="B17" t="s">
        <v>165</v>
      </c>
      <c r="C17" t="s">
        <v>130</v>
      </c>
      <c r="D17" t="s">
        <v>137</v>
      </c>
      <c r="E17" t="s">
        <v>155</v>
      </c>
    </row>
    <row r="18" spans="1:5" x14ac:dyDescent="0.25">
      <c r="A18" t="s">
        <v>161</v>
      </c>
      <c r="B18" t="s">
        <v>165</v>
      </c>
      <c r="C18" t="s">
        <v>130</v>
      </c>
      <c r="D18" t="s">
        <v>137</v>
      </c>
      <c r="E18" t="s">
        <v>156</v>
      </c>
    </row>
    <row r="19" spans="1:5" x14ac:dyDescent="0.25">
      <c r="A19" t="s">
        <v>162</v>
      </c>
      <c r="B19" t="s">
        <v>165</v>
      </c>
      <c r="C19" t="s">
        <v>139</v>
      </c>
      <c r="D19" t="s">
        <v>138</v>
      </c>
      <c r="E19" t="s">
        <v>141</v>
      </c>
    </row>
    <row r="20" spans="1:5" x14ac:dyDescent="0.25">
      <c r="A20" t="s">
        <v>163</v>
      </c>
      <c r="B20" t="s">
        <v>165</v>
      </c>
      <c r="C20" t="s">
        <v>139</v>
      </c>
      <c r="D20" t="s">
        <v>138</v>
      </c>
      <c r="E20" t="s">
        <v>155</v>
      </c>
    </row>
    <row r="21" spans="1:5" x14ac:dyDescent="0.25">
      <c r="A21" t="s">
        <v>164</v>
      </c>
      <c r="B21" t="s">
        <v>165</v>
      </c>
      <c r="C21" t="s">
        <v>139</v>
      </c>
      <c r="D21" t="s">
        <v>138</v>
      </c>
      <c r="E21" t="s">
        <v>156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"/>
  <sheetViews>
    <sheetView workbookViewId="0">
      <selection activeCell="C11" sqref="C11"/>
    </sheetView>
  </sheetViews>
  <sheetFormatPr baseColWidth="10" defaultRowHeight="15" x14ac:dyDescent="0.25"/>
  <sheetData>
    <row r="6" ht="15.7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2"/>
  <sheetViews>
    <sheetView showGridLines="0" showRowColHeaders="0" view="pageBreakPreview" zoomScaleNormal="100" zoomScaleSheetLayoutView="100" workbookViewId="0">
      <selection activeCell="F20" sqref="F20"/>
    </sheetView>
  </sheetViews>
  <sheetFormatPr baseColWidth="10" defaultRowHeight="15" x14ac:dyDescent="0.25"/>
  <cols>
    <col min="1" max="1" width="13.7109375" style="103" bestFit="1" customWidth="1"/>
    <col min="2" max="2" width="11.42578125" style="32"/>
    <col min="3" max="5" width="13.7109375" style="32" customWidth="1"/>
    <col min="6" max="6" width="14.7109375" style="32" customWidth="1"/>
    <col min="7" max="7" width="14.7109375" style="32" hidden="1" customWidth="1"/>
    <col min="8" max="8" width="14.7109375" style="32" customWidth="1"/>
    <col min="9" max="12" width="13.7109375" style="32" customWidth="1"/>
    <col min="21" max="22" width="11.42578125" style="237"/>
    <col min="23" max="23" width="11.42578125" style="238"/>
    <col min="24" max="31" width="11.42578125" style="237"/>
  </cols>
  <sheetData>
    <row r="1" spans="1:31" s="96" customFormat="1" ht="38.25" x14ac:dyDescent="0.25">
      <c r="A1" s="104" t="s">
        <v>16</v>
      </c>
      <c r="B1" s="105" t="s">
        <v>17</v>
      </c>
      <c r="C1" s="105" t="s">
        <v>232</v>
      </c>
      <c r="D1" s="105" t="s">
        <v>18</v>
      </c>
      <c r="E1" s="105" t="s">
        <v>19</v>
      </c>
      <c r="F1" s="105" t="s">
        <v>20</v>
      </c>
      <c r="G1" s="105" t="s">
        <v>124</v>
      </c>
      <c r="H1" s="105" t="s">
        <v>125</v>
      </c>
      <c r="I1" s="105" t="s">
        <v>21</v>
      </c>
      <c r="J1" s="105" t="s">
        <v>22</v>
      </c>
      <c r="K1" s="105" t="s">
        <v>46</v>
      </c>
      <c r="L1" s="106" t="s">
        <v>54</v>
      </c>
      <c r="U1" s="235"/>
      <c r="V1" s="235"/>
      <c r="W1" s="236" t="s">
        <v>36</v>
      </c>
      <c r="X1" s="235">
        <v>1</v>
      </c>
      <c r="Y1" s="235"/>
      <c r="Z1" s="235" t="s">
        <v>94</v>
      </c>
      <c r="AA1" s="235" t="s">
        <v>249</v>
      </c>
      <c r="AB1" s="235"/>
      <c r="AC1" s="235"/>
      <c r="AD1" s="235"/>
      <c r="AE1" s="235"/>
    </row>
    <row r="2" spans="1:31" x14ac:dyDescent="0.25">
      <c r="A2" s="101" t="s">
        <v>23</v>
      </c>
      <c r="B2" s="97" t="s">
        <v>73</v>
      </c>
      <c r="C2" s="97">
        <v>48241</v>
      </c>
      <c r="D2" s="97">
        <v>1.5</v>
      </c>
      <c r="E2" s="97">
        <v>82</v>
      </c>
      <c r="F2" s="97">
        <v>7.72</v>
      </c>
      <c r="G2" s="97"/>
      <c r="H2" s="97">
        <v>8.5699999999999998E-2</v>
      </c>
      <c r="I2" s="97">
        <v>26</v>
      </c>
      <c r="J2" s="97">
        <v>1.58</v>
      </c>
      <c r="K2" s="97">
        <v>1.1100000000000001</v>
      </c>
      <c r="L2" s="98">
        <v>4.12</v>
      </c>
      <c r="W2" s="238" t="s">
        <v>37</v>
      </c>
      <c r="X2" s="237">
        <v>2</v>
      </c>
      <c r="Z2" s="237" t="s">
        <v>95</v>
      </c>
      <c r="AA2" s="237" t="s">
        <v>247</v>
      </c>
    </row>
    <row r="3" spans="1:31" x14ac:dyDescent="0.25">
      <c r="A3" s="101" t="s">
        <v>24</v>
      </c>
      <c r="B3" s="97" t="s">
        <v>250</v>
      </c>
      <c r="C3" s="97">
        <v>45752</v>
      </c>
      <c r="D3" s="97">
        <v>1.9</v>
      </c>
      <c r="E3" s="97">
        <v>8.4</v>
      </c>
      <c r="F3" s="97">
        <v>3.1</v>
      </c>
      <c r="G3" s="97"/>
      <c r="H3" s="97">
        <v>7.8E-2</v>
      </c>
      <c r="I3" s="97">
        <v>58.1</v>
      </c>
      <c r="J3" s="97">
        <v>0.5</v>
      </c>
      <c r="K3" s="97">
        <v>2.52</v>
      </c>
      <c r="L3" s="98">
        <v>3.48</v>
      </c>
      <c r="W3" s="238" t="s">
        <v>38</v>
      </c>
      <c r="X3" s="237">
        <v>3</v>
      </c>
      <c r="Z3" s="237" t="s">
        <v>96</v>
      </c>
      <c r="AA3" s="237" t="s">
        <v>246</v>
      </c>
    </row>
    <row r="4" spans="1:31" x14ac:dyDescent="0.25">
      <c r="A4" s="101" t="s">
        <v>25</v>
      </c>
      <c r="B4" s="97" t="s">
        <v>251</v>
      </c>
      <c r="C4" s="97">
        <v>43450</v>
      </c>
      <c r="D4" s="97">
        <v>1.2</v>
      </c>
      <c r="E4" s="97">
        <v>8.3000000000000007</v>
      </c>
      <c r="F4" s="97">
        <v>2.2999999999999998</v>
      </c>
      <c r="G4" s="97"/>
      <c r="H4" s="97">
        <v>1.7999999999999999E-2</v>
      </c>
      <c r="I4" s="97">
        <v>84.16</v>
      </c>
      <c r="J4" s="97">
        <v>0.52</v>
      </c>
      <c r="K4" s="97">
        <v>0.77900000000000003</v>
      </c>
      <c r="L4" s="98">
        <v>3.85</v>
      </c>
      <c r="W4" s="238" t="s">
        <v>39</v>
      </c>
      <c r="X4" s="237">
        <v>4</v>
      </c>
      <c r="Z4" s="237" t="s">
        <v>97</v>
      </c>
      <c r="AA4" s="237" t="s">
        <v>248</v>
      </c>
    </row>
    <row r="5" spans="1:31" x14ac:dyDescent="0.25">
      <c r="A5" s="101" t="s">
        <v>26</v>
      </c>
      <c r="B5" s="97" t="s">
        <v>252</v>
      </c>
      <c r="C5" s="97">
        <v>47794</v>
      </c>
      <c r="D5" s="97">
        <v>3</v>
      </c>
      <c r="E5" s="97">
        <v>15.5</v>
      </c>
      <c r="F5" s="97">
        <v>5.6</v>
      </c>
      <c r="G5" s="97"/>
      <c r="H5" s="97">
        <v>7.1800000000000003E-2</v>
      </c>
      <c r="I5" s="97">
        <v>30.1</v>
      </c>
      <c r="J5" s="97">
        <v>0.53</v>
      </c>
      <c r="K5" s="97">
        <v>1.282</v>
      </c>
      <c r="L5" s="98">
        <v>3.39</v>
      </c>
      <c r="W5" s="238" t="s">
        <v>40</v>
      </c>
      <c r="X5" s="237">
        <v>5</v>
      </c>
      <c r="Z5" s="237" t="s">
        <v>98</v>
      </c>
    </row>
    <row r="6" spans="1:31" x14ac:dyDescent="0.25">
      <c r="A6" s="101" t="s">
        <v>27</v>
      </c>
      <c r="B6" s="97" t="s">
        <v>253</v>
      </c>
      <c r="C6" s="97">
        <v>47195</v>
      </c>
      <c r="D6" s="97">
        <v>2.8</v>
      </c>
      <c r="E6" s="97">
        <v>28.6</v>
      </c>
      <c r="F6" s="97">
        <v>6.5</v>
      </c>
      <c r="G6" s="97">
        <v>81.7</v>
      </c>
      <c r="H6" s="97">
        <f>G6/1000</f>
        <v>8.1700000000000009E-2</v>
      </c>
      <c r="I6" s="97">
        <v>28</v>
      </c>
      <c r="J6" s="97">
        <v>0.83</v>
      </c>
      <c r="K6" s="97">
        <v>1.1779999999999999</v>
      </c>
      <c r="L6" s="98">
        <v>3.9</v>
      </c>
      <c r="W6" s="238" t="s">
        <v>41</v>
      </c>
      <c r="X6" s="237">
        <v>6</v>
      </c>
      <c r="Z6" s="237" t="s">
        <v>99</v>
      </c>
    </row>
    <row r="7" spans="1:31" x14ac:dyDescent="0.25">
      <c r="A7" s="101" t="s">
        <v>28</v>
      </c>
      <c r="B7" s="97" t="s">
        <v>140</v>
      </c>
      <c r="C7" s="97">
        <v>44752</v>
      </c>
      <c r="D7" s="97">
        <v>1.1000000000000001</v>
      </c>
      <c r="E7" s="97">
        <v>8.6</v>
      </c>
      <c r="F7" s="97">
        <v>2.16</v>
      </c>
      <c r="G7" s="97"/>
      <c r="H7" s="97">
        <v>1.4E-2</v>
      </c>
      <c r="I7" s="97">
        <v>86.2</v>
      </c>
      <c r="J7" s="97">
        <v>0.52</v>
      </c>
      <c r="K7" s="97">
        <v>0.65500000000000003</v>
      </c>
      <c r="L7" s="98">
        <f>C7*H7/1000</f>
        <v>0.62652799999999997</v>
      </c>
      <c r="W7" s="238" t="s">
        <v>42</v>
      </c>
      <c r="X7" s="237">
        <v>7</v>
      </c>
      <c r="Z7" s="237" t="s">
        <v>52</v>
      </c>
    </row>
    <row r="8" spans="1:31" s="259" customFormat="1" x14ac:dyDescent="0.25">
      <c r="A8" s="256" t="s">
        <v>29</v>
      </c>
      <c r="B8" s="257" t="s">
        <v>254</v>
      </c>
      <c r="C8" s="257">
        <v>120971</v>
      </c>
      <c r="D8" s="257">
        <v>4.0999999999999996</v>
      </c>
      <c r="E8" s="257">
        <v>75.599999999999994</v>
      </c>
      <c r="F8" s="257">
        <v>29.5</v>
      </c>
      <c r="G8" s="257">
        <v>26.9</v>
      </c>
      <c r="H8" s="257">
        <f>G8/1000</f>
        <v>2.69E-2</v>
      </c>
      <c r="I8" s="257">
        <v>2</v>
      </c>
      <c r="J8" s="257">
        <v>3.5</v>
      </c>
      <c r="K8" s="257">
        <v>8.5000000000000006E-2</v>
      </c>
      <c r="L8" s="258">
        <v>3.01</v>
      </c>
      <c r="U8" s="260"/>
      <c r="V8" s="260"/>
      <c r="W8" s="261" t="s">
        <v>43</v>
      </c>
      <c r="X8" s="260">
        <v>8</v>
      </c>
      <c r="Y8" s="260"/>
      <c r="Z8" s="260"/>
      <c r="AA8" s="260"/>
      <c r="AB8" s="260"/>
      <c r="AC8" s="260"/>
      <c r="AD8" s="260"/>
      <c r="AE8" s="260"/>
    </row>
    <row r="9" spans="1:31" s="259" customFormat="1" x14ac:dyDescent="0.25">
      <c r="A9" s="256" t="s">
        <v>30</v>
      </c>
      <c r="B9" s="257" t="s">
        <v>255</v>
      </c>
      <c r="C9" s="257">
        <v>50010</v>
      </c>
      <c r="D9" s="257">
        <v>5</v>
      </c>
      <c r="E9" s="257">
        <v>16.5</v>
      </c>
      <c r="F9" s="257">
        <v>9.5</v>
      </c>
      <c r="G9" s="257">
        <v>67.8</v>
      </c>
      <c r="H9" s="257">
        <f>G9/1000</f>
        <v>6.7799999999999999E-2</v>
      </c>
      <c r="I9" s="257">
        <v>16</v>
      </c>
      <c r="J9" s="257">
        <v>0.45</v>
      </c>
      <c r="K9" s="257">
        <v>0.68</v>
      </c>
      <c r="L9" s="258">
        <v>3.23</v>
      </c>
      <c r="U9" s="260"/>
      <c r="V9" s="260"/>
      <c r="W9" s="261" t="s">
        <v>44</v>
      </c>
      <c r="X9" s="260">
        <v>9</v>
      </c>
      <c r="Y9" s="260"/>
      <c r="Z9" s="260"/>
      <c r="AA9" s="260"/>
      <c r="AB9" s="260"/>
      <c r="AC9" s="260"/>
      <c r="AD9" s="260"/>
      <c r="AE9" s="260"/>
    </row>
    <row r="10" spans="1:31" hidden="1" x14ac:dyDescent="0.25">
      <c r="A10" s="101" t="s">
        <v>257</v>
      </c>
      <c r="B10" s="97" t="s">
        <v>258</v>
      </c>
      <c r="C10" s="97">
        <v>45300</v>
      </c>
      <c r="D10" s="97">
        <v>1.4</v>
      </c>
      <c r="E10" s="97">
        <v>9.1999999999999993</v>
      </c>
      <c r="F10" s="97"/>
      <c r="G10" s="97"/>
      <c r="H10" s="97"/>
      <c r="I10" s="97">
        <v>72.150000000000006</v>
      </c>
      <c r="J10" s="97"/>
      <c r="K10" s="97"/>
      <c r="L10" s="98"/>
      <c r="W10" s="238" t="s">
        <v>45</v>
      </c>
      <c r="X10" s="237">
        <v>10</v>
      </c>
    </row>
    <row r="11" spans="1:31" x14ac:dyDescent="0.25">
      <c r="A11" s="102" t="s">
        <v>31</v>
      </c>
      <c r="B11" s="99" t="s">
        <v>67</v>
      </c>
      <c r="C11" s="99">
        <v>46357</v>
      </c>
      <c r="D11" s="99">
        <v>2.1</v>
      </c>
      <c r="E11" s="99">
        <v>9.5</v>
      </c>
      <c r="F11" s="99">
        <v>4</v>
      </c>
      <c r="G11" s="99">
        <v>79.099999999999994</v>
      </c>
      <c r="H11" s="99">
        <f>G11/1000</f>
        <v>7.909999999999999E-2</v>
      </c>
      <c r="I11" s="99">
        <v>44.095999999999997</v>
      </c>
      <c r="J11" s="231">
        <v>0.52</v>
      </c>
      <c r="K11" s="99">
        <v>1.86</v>
      </c>
      <c r="L11" s="100">
        <v>3.46</v>
      </c>
      <c r="M11" s="4"/>
      <c r="N11" s="4"/>
      <c r="O11" s="4"/>
      <c r="P11" s="4"/>
      <c r="Q11" s="4"/>
      <c r="R11" s="4"/>
      <c r="S11" s="4"/>
    </row>
    <row r="12" spans="1:31" x14ac:dyDescent="0.25">
      <c r="A12" s="101" t="s">
        <v>32</v>
      </c>
      <c r="B12" s="97" t="s">
        <v>256</v>
      </c>
      <c r="C12" s="97">
        <v>45799</v>
      </c>
      <c r="D12" s="97">
        <v>2</v>
      </c>
      <c r="E12" s="97">
        <v>11.7</v>
      </c>
      <c r="F12" s="97">
        <v>4.4000000000000004</v>
      </c>
      <c r="G12" s="97"/>
      <c r="H12" s="97">
        <v>7.9600000000000004E-2</v>
      </c>
      <c r="I12" s="97">
        <v>42.08</v>
      </c>
      <c r="J12" s="97">
        <v>0.66</v>
      </c>
      <c r="K12" s="97">
        <v>1.81</v>
      </c>
      <c r="L12" s="98">
        <v>3.59</v>
      </c>
    </row>
    <row r="13" spans="1:31" x14ac:dyDescent="0.25">
      <c r="A13" s="232" t="s">
        <v>233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31" x14ac:dyDescent="0.25">
      <c r="A14" s="232" t="s">
        <v>234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31" x14ac:dyDescent="0.25">
      <c r="A15" s="232" t="s">
        <v>235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4"/>
    </row>
    <row r="16" spans="1:31" x14ac:dyDescent="0.25">
      <c r="A16" s="232" t="s">
        <v>236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4"/>
    </row>
    <row r="17" spans="1:12" x14ac:dyDescent="0.25">
      <c r="A17" s="232" t="s">
        <v>237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4"/>
    </row>
    <row r="18" spans="1:12" x14ac:dyDescent="0.25">
      <c r="A18" s="232" t="s">
        <v>238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4"/>
    </row>
    <row r="19" spans="1:12" x14ac:dyDescent="0.25">
      <c r="A19" s="232" t="s">
        <v>239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4"/>
    </row>
    <row r="20" spans="1:12" x14ac:dyDescent="0.25">
      <c r="A20" s="232" t="s">
        <v>240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4"/>
    </row>
    <row r="21" spans="1:12" x14ac:dyDescent="0.25">
      <c r="A21" s="232" t="s">
        <v>241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4"/>
    </row>
    <row r="22" spans="1:12" x14ac:dyDescent="0.25">
      <c r="A22" s="232" t="s">
        <v>242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4"/>
    </row>
  </sheetData>
  <sheetProtection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1" manualBreakCount="1">
    <brk id="1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view="pageBreakPreview" zoomScale="70" zoomScaleNormal="100" zoomScaleSheetLayoutView="70" workbookViewId="0">
      <selection activeCell="C23" sqref="C23"/>
    </sheetView>
  </sheetViews>
  <sheetFormatPr baseColWidth="10" defaultRowHeight="15" x14ac:dyDescent="0.25"/>
  <cols>
    <col min="1" max="1" width="6.42578125" customWidth="1"/>
    <col min="4" max="31" width="6.7109375" customWidth="1"/>
    <col min="32" max="32" width="8.28515625" bestFit="1" customWidth="1"/>
  </cols>
  <sheetData>
    <row r="1" spans="1:31" s="6" customFormat="1" x14ac:dyDescent="0.25">
      <c r="D1" s="52">
        <v>0.1</v>
      </c>
      <c r="E1" s="52">
        <v>0.2</v>
      </c>
      <c r="F1" s="52">
        <v>0.3</v>
      </c>
      <c r="G1" s="52">
        <v>0.4</v>
      </c>
      <c r="H1" s="52">
        <v>0.5</v>
      </c>
      <c r="I1" s="52">
        <v>0.6</v>
      </c>
      <c r="J1" s="52">
        <v>0.7</v>
      </c>
      <c r="K1" s="52">
        <v>0.8</v>
      </c>
      <c r="L1" s="52">
        <v>0.9</v>
      </c>
      <c r="M1" s="52">
        <v>1</v>
      </c>
      <c r="N1" s="52">
        <v>2</v>
      </c>
      <c r="O1" s="52">
        <v>3</v>
      </c>
      <c r="P1" s="52">
        <v>4</v>
      </c>
      <c r="Q1" s="52">
        <v>5</v>
      </c>
      <c r="R1" s="52">
        <v>6</v>
      </c>
      <c r="S1" s="52">
        <v>7</v>
      </c>
      <c r="T1" s="52">
        <v>8</v>
      </c>
      <c r="U1" s="52">
        <v>9</v>
      </c>
      <c r="V1" s="52">
        <v>10</v>
      </c>
      <c r="W1" s="52">
        <v>20</v>
      </c>
      <c r="X1" s="52">
        <v>30</v>
      </c>
      <c r="Y1" s="52">
        <v>40</v>
      </c>
      <c r="Z1" s="52">
        <v>50</v>
      </c>
      <c r="AA1" s="52">
        <v>60</v>
      </c>
      <c r="AB1" s="52">
        <v>70</v>
      </c>
      <c r="AC1" s="52">
        <v>80</v>
      </c>
      <c r="AD1" s="52">
        <v>90</v>
      </c>
      <c r="AE1" s="52">
        <v>100</v>
      </c>
    </row>
    <row r="2" spans="1:31" s="66" customFormat="1" ht="5.25" x14ac:dyDescent="0.15">
      <c r="B2" s="65"/>
      <c r="C2" s="65"/>
      <c r="D2" s="67">
        <v>3</v>
      </c>
      <c r="E2" s="66">
        <v>4</v>
      </c>
      <c r="F2" s="66">
        <v>5</v>
      </c>
      <c r="G2" s="66">
        <v>6</v>
      </c>
      <c r="H2" s="66">
        <v>7</v>
      </c>
      <c r="I2" s="66">
        <v>8</v>
      </c>
      <c r="J2" s="66">
        <v>9</v>
      </c>
      <c r="K2" s="66">
        <v>10</v>
      </c>
      <c r="L2" s="66">
        <v>11</v>
      </c>
      <c r="M2" s="66">
        <v>12</v>
      </c>
      <c r="N2" s="66">
        <v>13</v>
      </c>
      <c r="O2" s="66">
        <v>14</v>
      </c>
      <c r="P2" s="66">
        <v>15</v>
      </c>
      <c r="Q2" s="66">
        <v>16</v>
      </c>
      <c r="R2" s="66">
        <v>17</v>
      </c>
      <c r="S2" s="66">
        <v>18</v>
      </c>
      <c r="T2" s="66">
        <v>19</v>
      </c>
      <c r="U2" s="66">
        <v>20</v>
      </c>
      <c r="V2" s="66">
        <v>21</v>
      </c>
      <c r="W2" s="66">
        <v>22</v>
      </c>
      <c r="X2" s="66">
        <v>23</v>
      </c>
      <c r="Y2" s="66">
        <v>24</v>
      </c>
      <c r="Z2" s="66">
        <v>25</v>
      </c>
      <c r="AA2" s="66">
        <v>26</v>
      </c>
      <c r="AB2" s="66">
        <v>27</v>
      </c>
      <c r="AC2" s="66">
        <v>28</v>
      </c>
      <c r="AD2" s="66">
        <v>29</v>
      </c>
      <c r="AE2" s="66">
        <v>30</v>
      </c>
    </row>
    <row r="3" spans="1:31" ht="0.95" customHeight="1" x14ac:dyDescent="0.25">
      <c r="B3" s="6"/>
      <c r="C3" s="6"/>
    </row>
    <row r="4" spans="1:31" x14ac:dyDescent="0.25">
      <c r="A4">
        <f>IF(UVCE!$AE$19=1,1,0)</f>
        <v>0</v>
      </c>
      <c r="B4" s="59">
        <v>1</v>
      </c>
      <c r="C4" s="59">
        <v>0.01</v>
      </c>
      <c r="D4" s="68">
        <v>0.01</v>
      </c>
      <c r="E4" s="68">
        <v>0.01</v>
      </c>
      <c r="F4" s="68">
        <v>0.01</v>
      </c>
      <c r="G4" s="68">
        <v>0.01</v>
      </c>
      <c r="H4" s="68">
        <v>0.01</v>
      </c>
      <c r="I4" s="68">
        <v>0.01</v>
      </c>
      <c r="J4" s="68">
        <v>8.9999999999999993E-3</v>
      </c>
      <c r="K4" s="68">
        <v>8.5000000000000006E-3</v>
      </c>
      <c r="L4" s="68">
        <v>7.0000000000000001E-3</v>
      </c>
      <c r="M4" s="68">
        <v>6.4999999999999997E-3</v>
      </c>
      <c r="N4" s="68">
        <v>3.3E-3</v>
      </c>
      <c r="O4" s="68">
        <v>2.3E-3</v>
      </c>
      <c r="P4" s="68">
        <v>1.8E-3</v>
      </c>
      <c r="Q4" s="68">
        <v>1.5E-3</v>
      </c>
      <c r="R4" s="68">
        <v>1.1999999999999999E-3</v>
      </c>
      <c r="S4" s="68">
        <v>1E-3</v>
      </c>
      <c r="T4" s="68">
        <v>0</v>
      </c>
      <c r="U4" s="68">
        <v>0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</row>
    <row r="5" spans="1:31" x14ac:dyDescent="0.25">
      <c r="A5">
        <f>IF(UVCE!$AE$19=2,1,0)</f>
        <v>0</v>
      </c>
      <c r="B5" s="59">
        <v>2</v>
      </c>
      <c r="C5" s="59">
        <v>0.02</v>
      </c>
      <c r="D5" s="68">
        <v>0.02</v>
      </c>
      <c r="E5" s="68">
        <v>0.02</v>
      </c>
      <c r="F5" s="68">
        <v>0.02</v>
      </c>
      <c r="G5" s="68">
        <v>0.02</v>
      </c>
      <c r="H5" s="68">
        <v>0.02</v>
      </c>
      <c r="I5" s="68">
        <v>0.02</v>
      </c>
      <c r="J5" s="68">
        <v>1.9E-2</v>
      </c>
      <c r="K5" s="68">
        <v>1.7999999999999999E-2</v>
      </c>
      <c r="L5" s="68">
        <v>1.7000000000000001E-2</v>
      </c>
      <c r="M5" s="68">
        <v>1.4999999999999999E-2</v>
      </c>
      <c r="N5" s="68">
        <v>7.0000000000000001E-3</v>
      </c>
      <c r="O5" s="68">
        <v>4.5999999999999999E-3</v>
      </c>
      <c r="P5" s="68">
        <v>3.5000000000000001E-3</v>
      </c>
      <c r="Q5" s="68">
        <v>2.8E-3</v>
      </c>
      <c r="R5" s="68">
        <v>2.3E-3</v>
      </c>
      <c r="S5" s="68">
        <v>2E-3</v>
      </c>
      <c r="T5" s="68">
        <v>1.8E-3</v>
      </c>
      <c r="U5" s="68">
        <v>1.6999999999999999E-3</v>
      </c>
      <c r="V5" s="68">
        <v>1.5E-3</v>
      </c>
      <c r="W5" s="68">
        <v>0</v>
      </c>
      <c r="X5" s="68">
        <v>0</v>
      </c>
      <c r="Y5" s="68">
        <v>0</v>
      </c>
      <c r="Z5" s="68">
        <v>0</v>
      </c>
      <c r="AA5" s="68">
        <v>0</v>
      </c>
      <c r="AB5" s="68">
        <v>0</v>
      </c>
      <c r="AC5" s="68">
        <v>0</v>
      </c>
      <c r="AD5" s="68">
        <v>0</v>
      </c>
      <c r="AE5" s="68">
        <v>0</v>
      </c>
    </row>
    <row r="6" spans="1:31" x14ac:dyDescent="0.25">
      <c r="A6">
        <f>IF(UVCE!$AE$19=3,1,0)</f>
        <v>0</v>
      </c>
      <c r="B6" s="59">
        <v>3</v>
      </c>
      <c r="C6" s="59">
        <v>0.05</v>
      </c>
      <c r="D6" s="68">
        <v>0.05</v>
      </c>
      <c r="E6" s="68">
        <v>0.05</v>
      </c>
      <c r="F6" s="68">
        <v>0.05</v>
      </c>
      <c r="G6" s="68">
        <v>0.05</v>
      </c>
      <c r="H6" s="68">
        <v>0.05</v>
      </c>
      <c r="I6" s="68">
        <v>0.05</v>
      </c>
      <c r="J6" s="68">
        <v>4.4999999999999998E-2</v>
      </c>
      <c r="K6" s="68">
        <v>0.04</v>
      </c>
      <c r="L6" s="68">
        <v>3.5000000000000003E-2</v>
      </c>
      <c r="M6" s="68">
        <v>3.2000000000000001E-2</v>
      </c>
      <c r="N6" s="68">
        <v>1.7999999999999999E-2</v>
      </c>
      <c r="O6" s="68">
        <v>1.0999999999999999E-2</v>
      </c>
      <c r="P6" s="68">
        <v>8.0000000000000002E-3</v>
      </c>
      <c r="Q6" s="68">
        <v>6.4999999999999997E-3</v>
      </c>
      <c r="R6" s="68">
        <v>5.4999999999999997E-3</v>
      </c>
      <c r="S6" s="68">
        <v>4.7999999999999996E-3</v>
      </c>
      <c r="T6" s="68">
        <v>4.0000000000000001E-3</v>
      </c>
      <c r="U6" s="68">
        <v>3.8E-3</v>
      </c>
      <c r="V6" s="68">
        <v>3.2000000000000002E-3</v>
      </c>
      <c r="W6" s="68">
        <v>1.8E-3</v>
      </c>
      <c r="X6" s="68">
        <v>1.1000000000000001E-3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</row>
    <row r="7" spans="1:31" x14ac:dyDescent="0.25">
      <c r="A7">
        <f>IF(UVCE!$AE$19=4,1,0)</f>
        <v>0</v>
      </c>
      <c r="B7" s="59">
        <v>4</v>
      </c>
      <c r="C7" s="59">
        <v>0.1</v>
      </c>
      <c r="D7" s="68">
        <v>0.1</v>
      </c>
      <c r="E7" s="68">
        <v>0.1</v>
      </c>
      <c r="F7" s="68">
        <v>0.1</v>
      </c>
      <c r="G7" s="68">
        <v>0.1</v>
      </c>
      <c r="H7" s="68">
        <v>0.1</v>
      </c>
      <c r="I7" s="68">
        <v>9.5000000000000001E-2</v>
      </c>
      <c r="J7" s="68">
        <v>0.09</v>
      </c>
      <c r="K7" s="68">
        <v>0.08</v>
      </c>
      <c r="L7" s="68">
        <v>7.4999999999999997E-2</v>
      </c>
      <c r="M7" s="68">
        <v>6.8000000000000005E-2</v>
      </c>
      <c r="N7" s="68">
        <v>3.3000000000000002E-2</v>
      </c>
      <c r="O7" s="68">
        <v>2.3E-2</v>
      </c>
      <c r="P7" s="68">
        <v>1.7999999999999999E-2</v>
      </c>
      <c r="Q7" s="68">
        <v>1.4999999999999999E-2</v>
      </c>
      <c r="R7" s="68">
        <v>1.0999999999999999E-2</v>
      </c>
      <c r="S7" s="68">
        <v>9.4999999999999998E-3</v>
      </c>
      <c r="T7" s="68">
        <v>8.5000000000000006E-3</v>
      </c>
      <c r="U7" s="68">
        <v>7.4999999999999997E-3</v>
      </c>
      <c r="V7" s="68">
        <v>6.4999999999999997E-3</v>
      </c>
      <c r="W7" s="68">
        <v>3.2000000000000002E-3</v>
      </c>
      <c r="X7" s="68">
        <v>2.3E-3</v>
      </c>
      <c r="Y7" s="68">
        <v>1.8E-3</v>
      </c>
      <c r="Z7" s="68">
        <v>1.4E-3</v>
      </c>
      <c r="AA7" s="68">
        <v>1.1999999999999999E-3</v>
      </c>
      <c r="AB7" s="68">
        <v>1E-3</v>
      </c>
      <c r="AC7" s="68">
        <v>0</v>
      </c>
      <c r="AD7" s="68">
        <v>0</v>
      </c>
      <c r="AE7" s="68">
        <v>0</v>
      </c>
    </row>
    <row r="8" spans="1:31" x14ac:dyDescent="0.25">
      <c r="A8">
        <f>IF(UVCE!$AE$19=5,1,0)</f>
        <v>0</v>
      </c>
      <c r="B8" s="59">
        <v>5</v>
      </c>
      <c r="C8" s="59">
        <v>0.2</v>
      </c>
      <c r="D8" s="68">
        <v>0.2</v>
      </c>
      <c r="E8" s="68">
        <v>0.2</v>
      </c>
      <c r="F8" s="68">
        <v>0.2</v>
      </c>
      <c r="G8" s="68">
        <v>0.2</v>
      </c>
      <c r="H8" s="68">
        <v>0.2</v>
      </c>
      <c r="I8" s="68">
        <v>0.19</v>
      </c>
      <c r="J8" s="68">
        <v>0.18</v>
      </c>
      <c r="K8" s="68">
        <v>0.17</v>
      </c>
      <c r="L8" s="68">
        <v>0.14000000000000001</v>
      </c>
      <c r="M8" s="68">
        <v>0.12</v>
      </c>
      <c r="N8" s="68">
        <v>0.06</v>
      </c>
      <c r="O8" s="68">
        <v>0.04</v>
      </c>
      <c r="P8" s="68">
        <v>0.03</v>
      </c>
      <c r="Q8" s="68">
        <v>2.5000000000000001E-2</v>
      </c>
      <c r="R8" s="68">
        <v>0.02</v>
      </c>
      <c r="S8" s="68">
        <v>1.7999999999999999E-2</v>
      </c>
      <c r="T8" s="68">
        <v>1.6E-2</v>
      </c>
      <c r="U8" s="68">
        <v>1.4E-2</v>
      </c>
      <c r="V8" s="68">
        <v>1.2E-2</v>
      </c>
      <c r="W8" s="68">
        <v>6.0000000000000001E-3</v>
      </c>
      <c r="X8" s="68">
        <v>4.0000000000000001E-3</v>
      </c>
      <c r="Y8" s="68">
        <v>3.0000000000000001E-3</v>
      </c>
      <c r="Z8" s="68">
        <v>2.5000000000000001E-3</v>
      </c>
      <c r="AA8" s="68">
        <v>2E-3</v>
      </c>
      <c r="AB8" s="68">
        <v>1.8E-3</v>
      </c>
      <c r="AC8" s="68">
        <v>1.6000000000000001E-3</v>
      </c>
      <c r="AD8" s="68">
        <v>1.4E-3</v>
      </c>
      <c r="AE8" s="68">
        <v>1.1999999999999999E-3</v>
      </c>
    </row>
    <row r="9" spans="1:31" x14ac:dyDescent="0.25">
      <c r="A9">
        <f>IF(UVCE!$AE$19=6,1,0)</f>
        <v>1</v>
      </c>
      <c r="B9" s="59">
        <v>6</v>
      </c>
      <c r="C9" s="59">
        <v>0.5</v>
      </c>
      <c r="D9" s="68">
        <v>0.5</v>
      </c>
      <c r="E9" s="68">
        <v>0.5</v>
      </c>
      <c r="F9" s="68">
        <v>0.5</v>
      </c>
      <c r="G9" s="68">
        <v>0.5</v>
      </c>
      <c r="H9" s="68">
        <v>0.5</v>
      </c>
      <c r="I9" s="68">
        <v>0.46</v>
      </c>
      <c r="J9" s="68">
        <v>0.42</v>
      </c>
      <c r="K9" s="68">
        <v>0.4</v>
      </c>
      <c r="L9" s="68">
        <v>0.38</v>
      </c>
      <c r="M9" s="68">
        <v>0.32</v>
      </c>
      <c r="N9" s="68">
        <v>0.16</v>
      </c>
      <c r="O9" s="68">
        <v>0.09</v>
      </c>
      <c r="P9" s="68">
        <v>6.8000000000000005E-2</v>
      </c>
      <c r="Q9" s="68">
        <v>5.0999999999999997E-2</v>
      </c>
      <c r="R9" s="68">
        <v>4.2000000000000003E-2</v>
      </c>
      <c r="S9" s="68">
        <v>3.6999999999999998E-2</v>
      </c>
      <c r="T9" s="68">
        <v>0.03</v>
      </c>
      <c r="U9" s="68">
        <v>2.8000000000000001E-2</v>
      </c>
      <c r="V9" s="68">
        <v>2.4E-2</v>
      </c>
      <c r="W9" s="68">
        <v>1.0999999999999999E-2</v>
      </c>
      <c r="X9" s="68">
        <v>7.0000000000000001E-3</v>
      </c>
      <c r="Y9" s="68">
        <v>5.0000000000000001E-3</v>
      </c>
      <c r="Z9" s="68">
        <v>4.0000000000000001E-3</v>
      </c>
      <c r="AA9" s="68">
        <v>3.3E-3</v>
      </c>
      <c r="AB9" s="68">
        <v>2.8E-3</v>
      </c>
      <c r="AC9" s="68">
        <v>2.5000000000000001E-3</v>
      </c>
      <c r="AD9" s="68">
        <v>2E-3</v>
      </c>
      <c r="AE9" s="68">
        <v>1.8E-3</v>
      </c>
    </row>
    <row r="10" spans="1:31" x14ac:dyDescent="0.25">
      <c r="A10">
        <f>IF(UVCE!$AE$19=7,1,0)</f>
        <v>0</v>
      </c>
      <c r="B10" s="59">
        <v>7</v>
      </c>
      <c r="C10" s="59">
        <v>1</v>
      </c>
      <c r="D10" s="68">
        <v>1</v>
      </c>
      <c r="E10" s="68">
        <v>1</v>
      </c>
      <c r="F10" s="68">
        <v>1</v>
      </c>
      <c r="G10" s="68">
        <v>1</v>
      </c>
      <c r="H10" s="68">
        <v>0.92</v>
      </c>
      <c r="I10" s="68">
        <v>0.82</v>
      </c>
      <c r="J10" s="68">
        <v>0.75</v>
      </c>
      <c r="K10" s="68">
        <v>0.6</v>
      </c>
      <c r="L10" s="68">
        <v>0.5</v>
      </c>
      <c r="M10" s="68">
        <v>0.45</v>
      </c>
      <c r="N10" s="68">
        <v>0.17</v>
      </c>
      <c r="O10" s="68">
        <v>0.09</v>
      </c>
      <c r="P10" s="68">
        <v>6.8000000000000005E-2</v>
      </c>
      <c r="Q10" s="68">
        <v>5.0999999999999997E-2</v>
      </c>
      <c r="R10" s="68">
        <v>4.2000000000000003E-2</v>
      </c>
      <c r="S10" s="68">
        <v>3.6999999999999998E-2</v>
      </c>
      <c r="T10" s="68">
        <v>0.03</v>
      </c>
      <c r="U10" s="68">
        <v>2.8000000000000001E-2</v>
      </c>
      <c r="V10" s="68">
        <v>2.4E-2</v>
      </c>
      <c r="W10" s="68">
        <v>1.0999999999999999E-2</v>
      </c>
      <c r="X10" s="68">
        <v>7.0000000000000001E-3</v>
      </c>
      <c r="Y10" s="68">
        <v>5.0000000000000001E-3</v>
      </c>
      <c r="Z10" s="68">
        <v>4.0000000000000001E-3</v>
      </c>
      <c r="AA10" s="68">
        <v>3.3E-3</v>
      </c>
      <c r="AB10" s="68">
        <v>2.8E-3</v>
      </c>
      <c r="AC10" s="68">
        <v>2.5000000000000001E-3</v>
      </c>
      <c r="AD10" s="68">
        <v>2E-3</v>
      </c>
      <c r="AE10" s="68">
        <v>1.8E-3</v>
      </c>
    </row>
    <row r="11" spans="1:31" x14ac:dyDescent="0.25">
      <c r="A11">
        <f>IF(UVCE!$AE$19=8,1,0)</f>
        <v>0</v>
      </c>
      <c r="B11" s="59">
        <v>8</v>
      </c>
      <c r="C11" s="59">
        <v>2</v>
      </c>
      <c r="D11" s="68">
        <v>2</v>
      </c>
      <c r="E11" s="68">
        <v>2</v>
      </c>
      <c r="F11" s="68">
        <v>2</v>
      </c>
      <c r="G11" s="68">
        <v>2</v>
      </c>
      <c r="H11" s="68">
        <v>1.8</v>
      </c>
      <c r="I11" s="68">
        <v>1.4</v>
      </c>
      <c r="J11" s="68">
        <v>1</v>
      </c>
      <c r="K11" s="68">
        <v>0.8</v>
      </c>
      <c r="L11" s="68">
        <v>0.6</v>
      </c>
      <c r="M11" s="68">
        <v>0.5</v>
      </c>
      <c r="N11" s="68">
        <v>0.17</v>
      </c>
      <c r="O11" s="68">
        <v>0.09</v>
      </c>
      <c r="P11" s="68">
        <v>6.8000000000000005E-2</v>
      </c>
      <c r="Q11" s="68">
        <v>5.0999999999999997E-2</v>
      </c>
      <c r="R11" s="68">
        <v>4.2000000000000003E-2</v>
      </c>
      <c r="S11" s="68">
        <v>3.6999999999999998E-2</v>
      </c>
      <c r="T11" s="68">
        <v>0.03</v>
      </c>
      <c r="U11" s="68">
        <v>2.8000000000000001E-2</v>
      </c>
      <c r="V11" s="68">
        <v>2.4E-2</v>
      </c>
      <c r="W11" s="68">
        <v>1.0999999999999999E-2</v>
      </c>
      <c r="X11" s="68">
        <v>7.0000000000000001E-3</v>
      </c>
      <c r="Y11" s="68">
        <v>5.0000000000000001E-3</v>
      </c>
      <c r="Z11" s="68">
        <v>4.0000000000000001E-3</v>
      </c>
      <c r="AA11" s="68">
        <v>3.3E-3</v>
      </c>
      <c r="AB11" s="68">
        <v>2.8E-3</v>
      </c>
      <c r="AC11" s="68">
        <v>2.5000000000000001E-3</v>
      </c>
      <c r="AD11" s="68">
        <v>2E-3</v>
      </c>
      <c r="AE11" s="68">
        <v>1.8E-3</v>
      </c>
    </row>
    <row r="12" spans="1:31" x14ac:dyDescent="0.25">
      <c r="A12">
        <f>IF(UVCE!$AE$19=9,1,0)</f>
        <v>0</v>
      </c>
      <c r="B12" s="59">
        <v>9</v>
      </c>
      <c r="C12" s="59">
        <v>5</v>
      </c>
      <c r="D12" s="68">
        <v>5</v>
      </c>
      <c r="E12" s="68">
        <v>5</v>
      </c>
      <c r="F12" s="68">
        <v>5</v>
      </c>
      <c r="G12" s="68">
        <v>3.9</v>
      </c>
      <c r="H12" s="68">
        <v>2</v>
      </c>
      <c r="I12" s="68">
        <v>1.4</v>
      </c>
      <c r="J12" s="68">
        <v>1</v>
      </c>
      <c r="K12" s="68">
        <v>0.8</v>
      </c>
      <c r="L12" s="68">
        <v>0.6</v>
      </c>
      <c r="M12" s="68">
        <v>0.5</v>
      </c>
      <c r="N12" s="68">
        <v>0.17</v>
      </c>
      <c r="O12" s="68">
        <v>0.09</v>
      </c>
      <c r="P12" s="68">
        <v>6.8000000000000005E-2</v>
      </c>
      <c r="Q12" s="68">
        <v>5.0999999999999997E-2</v>
      </c>
      <c r="R12" s="68">
        <v>4.2000000000000003E-2</v>
      </c>
      <c r="S12" s="68">
        <v>3.6999999999999998E-2</v>
      </c>
      <c r="T12" s="68">
        <v>0.03</v>
      </c>
      <c r="U12" s="68">
        <v>2.8000000000000001E-2</v>
      </c>
      <c r="V12" s="68">
        <v>2.4E-2</v>
      </c>
      <c r="W12" s="68">
        <v>1.0999999999999999E-2</v>
      </c>
      <c r="X12" s="68">
        <v>7.0000000000000001E-3</v>
      </c>
      <c r="Y12" s="68">
        <v>5.0000000000000001E-3</v>
      </c>
      <c r="Z12" s="68">
        <v>4.0000000000000001E-3</v>
      </c>
      <c r="AA12" s="68">
        <v>3.3E-3</v>
      </c>
      <c r="AB12" s="68">
        <v>2.8E-3</v>
      </c>
      <c r="AC12" s="68">
        <v>2.5000000000000001E-3</v>
      </c>
      <c r="AD12" s="68">
        <v>2E-3</v>
      </c>
      <c r="AE12" s="68">
        <v>1.8E-3</v>
      </c>
    </row>
    <row r="13" spans="1:31" x14ac:dyDescent="0.25">
      <c r="A13">
        <f>IF(UVCE!$AE$19=10,1,0)</f>
        <v>0</v>
      </c>
      <c r="B13" s="59">
        <v>10</v>
      </c>
      <c r="C13" s="59">
        <v>10</v>
      </c>
      <c r="D13" s="68">
        <v>10</v>
      </c>
      <c r="E13" s="68">
        <v>10</v>
      </c>
      <c r="F13" s="68">
        <v>8</v>
      </c>
      <c r="G13" s="68">
        <v>3.9</v>
      </c>
      <c r="H13" s="68">
        <v>2</v>
      </c>
      <c r="I13" s="68">
        <v>1.4</v>
      </c>
      <c r="J13" s="68">
        <v>1</v>
      </c>
      <c r="K13" s="68">
        <v>0.8</v>
      </c>
      <c r="L13" s="68">
        <v>0.6</v>
      </c>
      <c r="M13" s="69">
        <v>0.5</v>
      </c>
      <c r="N13" s="69">
        <v>0.17</v>
      </c>
      <c r="O13" s="68">
        <v>0.09</v>
      </c>
      <c r="P13" s="68">
        <v>6.8000000000000005E-2</v>
      </c>
      <c r="Q13" s="68">
        <v>5.0999999999999997E-2</v>
      </c>
      <c r="R13" s="68">
        <v>4.2000000000000003E-2</v>
      </c>
      <c r="S13" s="68">
        <v>3.6999999999999998E-2</v>
      </c>
      <c r="T13" s="68">
        <v>0.03</v>
      </c>
      <c r="U13" s="68">
        <v>2.8000000000000001E-2</v>
      </c>
      <c r="V13" s="68">
        <v>2.4E-2</v>
      </c>
      <c r="W13" s="68">
        <v>1.0999999999999999E-2</v>
      </c>
      <c r="X13" s="68">
        <v>7.0000000000000001E-3</v>
      </c>
      <c r="Y13" s="68">
        <v>5.0000000000000001E-3</v>
      </c>
      <c r="Z13" s="68">
        <v>4.0000000000000001E-3</v>
      </c>
      <c r="AA13" s="68">
        <v>3.3E-3</v>
      </c>
      <c r="AB13" s="68">
        <v>2.8E-3</v>
      </c>
      <c r="AC13" s="68">
        <v>2.5000000000000001E-3</v>
      </c>
      <c r="AD13" s="68">
        <v>2E-3</v>
      </c>
      <c r="AE13" s="68">
        <v>1.8E-3</v>
      </c>
    </row>
    <row r="14" spans="1:31" x14ac:dyDescent="0.25">
      <c r="A14" s="7"/>
      <c r="B14" s="7"/>
      <c r="C14" s="7"/>
    </row>
    <row r="15" spans="1:31" ht="15.75" thickBot="1" x14ac:dyDescent="0.3"/>
    <row r="16" spans="1:31" ht="15.75" thickBot="1" x14ac:dyDescent="0.3">
      <c r="B16" s="8" t="s">
        <v>71</v>
      </c>
      <c r="C16" s="8">
        <f>UVCE!$AE$19</f>
        <v>6</v>
      </c>
      <c r="D16" s="9">
        <f>HLOOKUP(D1,B1:AE13,$C$16+3)</f>
        <v>0.5</v>
      </c>
      <c r="E16" s="9">
        <f t="shared" ref="E16:AE16" si="0">HLOOKUP(E1,C1:AF13,$C$16+3)</f>
        <v>0.5</v>
      </c>
      <c r="F16" s="9">
        <f t="shared" si="0"/>
        <v>0.5</v>
      </c>
      <c r="G16" s="9">
        <f t="shared" si="0"/>
        <v>0.5</v>
      </c>
      <c r="H16" s="9">
        <f t="shared" si="0"/>
        <v>0.5</v>
      </c>
      <c r="I16" s="9">
        <f t="shared" si="0"/>
        <v>0.46</v>
      </c>
      <c r="J16" s="9">
        <f t="shared" si="0"/>
        <v>0.42</v>
      </c>
      <c r="K16" s="9">
        <f t="shared" si="0"/>
        <v>0.4</v>
      </c>
      <c r="L16" s="9">
        <f t="shared" si="0"/>
        <v>0.38</v>
      </c>
      <c r="M16" s="9">
        <f t="shared" si="0"/>
        <v>0.32</v>
      </c>
      <c r="N16" s="9">
        <f t="shared" si="0"/>
        <v>0.16</v>
      </c>
      <c r="O16" s="9">
        <f t="shared" si="0"/>
        <v>0.09</v>
      </c>
      <c r="P16" s="9">
        <f t="shared" si="0"/>
        <v>6.8000000000000005E-2</v>
      </c>
      <c r="Q16" s="9">
        <f t="shared" si="0"/>
        <v>5.0999999999999997E-2</v>
      </c>
      <c r="R16" s="9">
        <f t="shared" si="0"/>
        <v>4.2000000000000003E-2</v>
      </c>
      <c r="S16" s="9">
        <f t="shared" si="0"/>
        <v>3.6999999999999998E-2</v>
      </c>
      <c r="T16" s="9">
        <f t="shared" si="0"/>
        <v>0.03</v>
      </c>
      <c r="U16" s="9">
        <f t="shared" si="0"/>
        <v>2.8000000000000001E-2</v>
      </c>
      <c r="V16" s="9">
        <f t="shared" si="0"/>
        <v>2.4E-2</v>
      </c>
      <c r="W16" s="9">
        <f t="shared" si="0"/>
        <v>1.0999999999999999E-2</v>
      </c>
      <c r="X16" s="9">
        <f t="shared" si="0"/>
        <v>7.0000000000000001E-3</v>
      </c>
      <c r="Y16" s="9">
        <f t="shared" si="0"/>
        <v>5.0000000000000001E-3</v>
      </c>
      <c r="Z16" s="9">
        <f t="shared" si="0"/>
        <v>4.0000000000000001E-3</v>
      </c>
      <c r="AA16" s="9">
        <f t="shared" si="0"/>
        <v>3.3E-3</v>
      </c>
      <c r="AB16" s="9">
        <f t="shared" si="0"/>
        <v>2.8E-3</v>
      </c>
      <c r="AC16" s="9">
        <f t="shared" si="0"/>
        <v>2.5000000000000001E-3</v>
      </c>
      <c r="AD16" s="9">
        <f t="shared" si="0"/>
        <v>2E-3</v>
      </c>
      <c r="AE16" s="9">
        <f t="shared" si="0"/>
        <v>1.8E-3</v>
      </c>
    </row>
    <row r="17" spans="2:33" ht="15.75" thickBot="1" x14ac:dyDescent="0.3">
      <c r="B17" s="8" t="s">
        <v>70</v>
      </c>
      <c r="C17" s="8">
        <f>UVCE!AE11</f>
        <v>0.02</v>
      </c>
      <c r="D17" s="10">
        <v>0.1</v>
      </c>
      <c r="E17" s="10">
        <v>0.2</v>
      </c>
      <c r="F17" s="10">
        <v>0.3</v>
      </c>
      <c r="G17" s="10">
        <v>0.4</v>
      </c>
      <c r="H17" s="10">
        <v>0.5</v>
      </c>
      <c r="I17" s="10">
        <v>0.6</v>
      </c>
      <c r="J17" s="10">
        <v>0.7</v>
      </c>
      <c r="K17" s="10">
        <v>0.8</v>
      </c>
      <c r="L17" s="10">
        <v>0.9</v>
      </c>
      <c r="M17" s="10">
        <v>1</v>
      </c>
      <c r="N17" s="10">
        <v>2</v>
      </c>
      <c r="O17" s="10">
        <v>3</v>
      </c>
      <c r="P17" s="10">
        <v>4</v>
      </c>
      <c r="Q17" s="10">
        <v>5</v>
      </c>
      <c r="R17" s="10">
        <v>6</v>
      </c>
      <c r="S17" s="10">
        <v>7</v>
      </c>
      <c r="T17" s="10">
        <v>8</v>
      </c>
      <c r="U17" s="10">
        <v>9</v>
      </c>
      <c r="V17" s="10">
        <v>10</v>
      </c>
      <c r="W17" s="10">
        <v>20</v>
      </c>
      <c r="X17" s="10">
        <v>30</v>
      </c>
      <c r="Y17" s="10">
        <v>40</v>
      </c>
      <c r="Z17" s="10">
        <v>50</v>
      </c>
      <c r="AA17" s="10">
        <v>60</v>
      </c>
      <c r="AB17" s="10">
        <v>70</v>
      </c>
      <c r="AC17" s="10">
        <v>80</v>
      </c>
      <c r="AD17" s="10">
        <v>90</v>
      </c>
      <c r="AE17" s="11">
        <v>100</v>
      </c>
    </row>
    <row r="18" spans="2:33" x14ac:dyDescent="0.25">
      <c r="B18" s="8" t="s">
        <v>57</v>
      </c>
      <c r="C18" s="8">
        <f>AF18</f>
        <v>20</v>
      </c>
      <c r="D18" t="b">
        <f>IF(D16&lt;=$C$17,D17,FALSE)</f>
        <v>0</v>
      </c>
      <c r="E18" t="b">
        <f t="shared" ref="E18:AE18" si="1">IF(E16&lt;=$C$17,E17,FALSE)</f>
        <v>0</v>
      </c>
      <c r="F18" t="b">
        <f t="shared" si="1"/>
        <v>0</v>
      </c>
      <c r="G18" t="b">
        <f t="shared" si="1"/>
        <v>0</v>
      </c>
      <c r="H18" t="b">
        <f t="shared" si="1"/>
        <v>0</v>
      </c>
      <c r="I18" t="b">
        <f t="shared" si="1"/>
        <v>0</v>
      </c>
      <c r="J18" t="b">
        <f t="shared" si="1"/>
        <v>0</v>
      </c>
      <c r="K18" t="b">
        <f t="shared" si="1"/>
        <v>0</v>
      </c>
      <c r="L18" t="b">
        <f t="shared" si="1"/>
        <v>0</v>
      </c>
      <c r="M18" t="b">
        <f t="shared" si="1"/>
        <v>0</v>
      </c>
      <c r="N18" t="b">
        <f t="shared" si="1"/>
        <v>0</v>
      </c>
      <c r="O18" t="b">
        <f t="shared" si="1"/>
        <v>0</v>
      </c>
      <c r="P18" t="b">
        <f t="shared" si="1"/>
        <v>0</v>
      </c>
      <c r="Q18" t="b">
        <f t="shared" si="1"/>
        <v>0</v>
      </c>
      <c r="R18" t="b">
        <f t="shared" si="1"/>
        <v>0</v>
      </c>
      <c r="S18" t="b">
        <f t="shared" si="1"/>
        <v>0</v>
      </c>
      <c r="T18" t="b">
        <f t="shared" si="1"/>
        <v>0</v>
      </c>
      <c r="U18" t="b">
        <f t="shared" si="1"/>
        <v>0</v>
      </c>
      <c r="V18" t="b">
        <f t="shared" si="1"/>
        <v>0</v>
      </c>
      <c r="W18">
        <f t="shared" si="1"/>
        <v>20</v>
      </c>
      <c r="X18">
        <f t="shared" si="1"/>
        <v>30</v>
      </c>
      <c r="Y18">
        <f t="shared" si="1"/>
        <v>40</v>
      </c>
      <c r="Z18">
        <f t="shared" si="1"/>
        <v>50</v>
      </c>
      <c r="AA18">
        <f t="shared" si="1"/>
        <v>60</v>
      </c>
      <c r="AB18">
        <f t="shared" si="1"/>
        <v>70</v>
      </c>
      <c r="AC18">
        <f t="shared" si="1"/>
        <v>80</v>
      </c>
      <c r="AD18">
        <f t="shared" si="1"/>
        <v>90</v>
      </c>
      <c r="AE18">
        <f t="shared" si="1"/>
        <v>100</v>
      </c>
      <c r="AF18">
        <f>MIN(D18:AE18)</f>
        <v>20</v>
      </c>
      <c r="AG18">
        <f>SUM(D18:AF18)</f>
        <v>560</v>
      </c>
    </row>
    <row r="19" spans="2:33" ht="15.75" thickBot="1" x14ac:dyDescent="0.3"/>
    <row r="20" spans="2:33" ht="15.75" thickBot="1" x14ac:dyDescent="0.3">
      <c r="B20" s="8" t="s">
        <v>71</v>
      </c>
      <c r="C20" s="8">
        <f>UVCE!$AE$19</f>
        <v>6</v>
      </c>
      <c r="D20" s="9">
        <f t="shared" ref="D20:AE20" si="2">HLOOKUP(D1,B1:AE13,$C$16+3)</f>
        <v>0.5</v>
      </c>
      <c r="E20" s="9">
        <f t="shared" si="2"/>
        <v>0.5</v>
      </c>
      <c r="F20" s="9">
        <f t="shared" si="2"/>
        <v>0.5</v>
      </c>
      <c r="G20" s="9">
        <f t="shared" si="2"/>
        <v>0.5</v>
      </c>
      <c r="H20" s="9">
        <f t="shared" si="2"/>
        <v>0.5</v>
      </c>
      <c r="I20" s="9">
        <f t="shared" si="2"/>
        <v>0.46</v>
      </c>
      <c r="J20" s="9">
        <f t="shared" si="2"/>
        <v>0.42</v>
      </c>
      <c r="K20" s="9">
        <f t="shared" si="2"/>
        <v>0.4</v>
      </c>
      <c r="L20" s="9">
        <f t="shared" si="2"/>
        <v>0.38</v>
      </c>
      <c r="M20" s="9">
        <f t="shared" si="2"/>
        <v>0.32</v>
      </c>
      <c r="N20" s="9">
        <f t="shared" si="2"/>
        <v>0.16</v>
      </c>
      <c r="O20" s="9">
        <f t="shared" si="2"/>
        <v>0.09</v>
      </c>
      <c r="P20" s="9">
        <f t="shared" si="2"/>
        <v>6.8000000000000005E-2</v>
      </c>
      <c r="Q20" s="9">
        <f t="shared" si="2"/>
        <v>5.0999999999999997E-2</v>
      </c>
      <c r="R20" s="9">
        <f t="shared" si="2"/>
        <v>4.2000000000000003E-2</v>
      </c>
      <c r="S20" s="9">
        <f t="shared" si="2"/>
        <v>3.6999999999999998E-2</v>
      </c>
      <c r="T20" s="9">
        <f t="shared" si="2"/>
        <v>0.03</v>
      </c>
      <c r="U20" s="9">
        <f t="shared" si="2"/>
        <v>2.8000000000000001E-2</v>
      </c>
      <c r="V20" s="9">
        <f t="shared" si="2"/>
        <v>2.4E-2</v>
      </c>
      <c r="W20" s="9">
        <f t="shared" si="2"/>
        <v>1.0999999999999999E-2</v>
      </c>
      <c r="X20" s="9">
        <f t="shared" si="2"/>
        <v>7.0000000000000001E-3</v>
      </c>
      <c r="Y20" s="9">
        <f t="shared" si="2"/>
        <v>5.0000000000000001E-3</v>
      </c>
      <c r="Z20" s="9">
        <f t="shared" si="2"/>
        <v>4.0000000000000001E-3</v>
      </c>
      <c r="AA20" s="9">
        <f t="shared" si="2"/>
        <v>3.3E-3</v>
      </c>
      <c r="AB20" s="9">
        <f t="shared" si="2"/>
        <v>2.8E-3</v>
      </c>
      <c r="AC20" s="9">
        <f t="shared" si="2"/>
        <v>2.5000000000000001E-3</v>
      </c>
      <c r="AD20" s="9">
        <f t="shared" si="2"/>
        <v>2E-3</v>
      </c>
      <c r="AE20" s="9">
        <f t="shared" si="2"/>
        <v>1.8E-3</v>
      </c>
    </row>
    <row r="21" spans="2:33" ht="15.75" thickBot="1" x14ac:dyDescent="0.3">
      <c r="B21" s="8" t="s">
        <v>70</v>
      </c>
      <c r="C21" s="8">
        <v>0.05</v>
      </c>
      <c r="D21" s="10">
        <v>0.1</v>
      </c>
      <c r="E21" s="10">
        <v>0.2</v>
      </c>
      <c r="F21" s="10">
        <v>0.3</v>
      </c>
      <c r="G21" s="10">
        <v>0.4</v>
      </c>
      <c r="H21" s="10">
        <v>0.5</v>
      </c>
      <c r="I21" s="10">
        <v>0.6</v>
      </c>
      <c r="J21" s="10">
        <v>0.7</v>
      </c>
      <c r="K21" s="10">
        <v>0.8</v>
      </c>
      <c r="L21" s="10">
        <v>0.9</v>
      </c>
      <c r="M21" s="10">
        <v>1</v>
      </c>
      <c r="N21" s="10">
        <v>2</v>
      </c>
      <c r="O21" s="10">
        <v>3</v>
      </c>
      <c r="P21" s="10">
        <v>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20</v>
      </c>
      <c r="X21" s="10">
        <v>30</v>
      </c>
      <c r="Y21" s="10">
        <v>40</v>
      </c>
      <c r="Z21" s="10">
        <v>50</v>
      </c>
      <c r="AA21" s="10">
        <v>60</v>
      </c>
      <c r="AB21" s="10">
        <v>70</v>
      </c>
      <c r="AC21" s="10">
        <v>80</v>
      </c>
      <c r="AD21" s="10">
        <v>90</v>
      </c>
      <c r="AE21" s="11">
        <v>100</v>
      </c>
    </row>
    <row r="22" spans="2:33" x14ac:dyDescent="0.25">
      <c r="B22" s="8" t="s">
        <v>57</v>
      </c>
      <c r="C22" s="8">
        <f>AF22</f>
        <v>6</v>
      </c>
      <c r="D22" t="b">
        <f>IF(D20&lt;=$C$21,D21,FALSE)</f>
        <v>0</v>
      </c>
      <c r="E22" t="b">
        <f t="shared" ref="E22:AE22" si="3">IF(E20&lt;=$C$21,E21,FALSE)</f>
        <v>0</v>
      </c>
      <c r="F22" t="b">
        <f t="shared" si="3"/>
        <v>0</v>
      </c>
      <c r="G22" t="b">
        <f t="shared" si="3"/>
        <v>0</v>
      </c>
      <c r="H22" t="b">
        <f t="shared" si="3"/>
        <v>0</v>
      </c>
      <c r="I22" t="b">
        <f t="shared" si="3"/>
        <v>0</v>
      </c>
      <c r="J22" t="b">
        <f t="shared" si="3"/>
        <v>0</v>
      </c>
      <c r="K22" t="b">
        <f t="shared" si="3"/>
        <v>0</v>
      </c>
      <c r="L22" t="b">
        <f t="shared" si="3"/>
        <v>0</v>
      </c>
      <c r="M22" t="b">
        <f t="shared" si="3"/>
        <v>0</v>
      </c>
      <c r="N22" t="b">
        <f t="shared" si="3"/>
        <v>0</v>
      </c>
      <c r="O22" t="b">
        <f t="shared" si="3"/>
        <v>0</v>
      </c>
      <c r="P22" t="b">
        <f t="shared" si="3"/>
        <v>0</v>
      </c>
      <c r="Q22" t="b">
        <f t="shared" si="3"/>
        <v>0</v>
      </c>
      <c r="R22">
        <f t="shared" si="3"/>
        <v>6</v>
      </c>
      <c r="S22">
        <f t="shared" si="3"/>
        <v>7</v>
      </c>
      <c r="T22">
        <f t="shared" si="3"/>
        <v>8</v>
      </c>
      <c r="U22">
        <f t="shared" si="3"/>
        <v>9</v>
      </c>
      <c r="V22">
        <f t="shared" si="3"/>
        <v>10</v>
      </c>
      <c r="W22">
        <f t="shared" si="3"/>
        <v>20</v>
      </c>
      <c r="X22">
        <f t="shared" si="3"/>
        <v>30</v>
      </c>
      <c r="Y22">
        <f t="shared" si="3"/>
        <v>40</v>
      </c>
      <c r="Z22">
        <f t="shared" si="3"/>
        <v>50</v>
      </c>
      <c r="AA22">
        <f t="shared" si="3"/>
        <v>60</v>
      </c>
      <c r="AB22">
        <f t="shared" si="3"/>
        <v>70</v>
      </c>
      <c r="AC22">
        <f t="shared" si="3"/>
        <v>80</v>
      </c>
      <c r="AD22">
        <f t="shared" si="3"/>
        <v>90</v>
      </c>
      <c r="AE22">
        <f t="shared" si="3"/>
        <v>100</v>
      </c>
      <c r="AF22">
        <f>MIN(D22:AE22)</f>
        <v>6</v>
      </c>
    </row>
    <row r="23" spans="2:33" ht="15.75" thickBot="1" x14ac:dyDescent="0.3"/>
    <row r="24" spans="2:33" ht="15.75" thickBot="1" x14ac:dyDescent="0.3">
      <c r="B24" s="8" t="s">
        <v>71</v>
      </c>
      <c r="C24" s="8">
        <f>UVCE!$AE$19</f>
        <v>6</v>
      </c>
      <c r="D24" s="9">
        <f t="shared" ref="D24:AE24" si="4">HLOOKUP(D1,B1:AE13,$C$24+3)</f>
        <v>0.5</v>
      </c>
      <c r="E24" s="9">
        <f t="shared" si="4"/>
        <v>0.5</v>
      </c>
      <c r="F24" s="9">
        <f t="shared" si="4"/>
        <v>0.5</v>
      </c>
      <c r="G24" s="9">
        <f t="shared" si="4"/>
        <v>0.5</v>
      </c>
      <c r="H24" s="9">
        <f t="shared" si="4"/>
        <v>0.5</v>
      </c>
      <c r="I24" s="9">
        <f t="shared" si="4"/>
        <v>0.46</v>
      </c>
      <c r="J24" s="9">
        <f t="shared" si="4"/>
        <v>0.42</v>
      </c>
      <c r="K24" s="9">
        <f t="shared" si="4"/>
        <v>0.4</v>
      </c>
      <c r="L24" s="9">
        <f t="shared" si="4"/>
        <v>0.38</v>
      </c>
      <c r="M24" s="9">
        <f t="shared" si="4"/>
        <v>0.32</v>
      </c>
      <c r="N24" s="9">
        <f t="shared" si="4"/>
        <v>0.16</v>
      </c>
      <c r="O24" s="9">
        <f t="shared" si="4"/>
        <v>0.09</v>
      </c>
      <c r="P24" s="9">
        <f t="shared" si="4"/>
        <v>6.8000000000000005E-2</v>
      </c>
      <c r="Q24" s="9">
        <f t="shared" si="4"/>
        <v>5.0999999999999997E-2</v>
      </c>
      <c r="R24" s="9">
        <f t="shared" si="4"/>
        <v>4.2000000000000003E-2</v>
      </c>
      <c r="S24" s="9">
        <f t="shared" si="4"/>
        <v>3.6999999999999998E-2</v>
      </c>
      <c r="T24" s="9">
        <f t="shared" si="4"/>
        <v>0.03</v>
      </c>
      <c r="U24" s="9">
        <f t="shared" si="4"/>
        <v>2.8000000000000001E-2</v>
      </c>
      <c r="V24" s="9">
        <f t="shared" si="4"/>
        <v>2.4E-2</v>
      </c>
      <c r="W24" s="9">
        <f t="shared" si="4"/>
        <v>1.0999999999999999E-2</v>
      </c>
      <c r="X24" s="9">
        <f t="shared" si="4"/>
        <v>7.0000000000000001E-3</v>
      </c>
      <c r="Y24" s="9">
        <f t="shared" si="4"/>
        <v>5.0000000000000001E-3</v>
      </c>
      <c r="Z24" s="9">
        <f t="shared" si="4"/>
        <v>4.0000000000000001E-3</v>
      </c>
      <c r="AA24" s="9">
        <f t="shared" si="4"/>
        <v>3.3E-3</v>
      </c>
      <c r="AB24" s="9">
        <f t="shared" si="4"/>
        <v>2.8E-3</v>
      </c>
      <c r="AC24" s="9">
        <f t="shared" si="4"/>
        <v>2.5000000000000001E-3</v>
      </c>
      <c r="AD24" s="9">
        <f t="shared" si="4"/>
        <v>2E-3</v>
      </c>
      <c r="AE24" s="9">
        <f t="shared" si="4"/>
        <v>1.8E-3</v>
      </c>
    </row>
    <row r="25" spans="2:33" ht="15.75" thickBot="1" x14ac:dyDescent="0.3">
      <c r="B25" s="8" t="s">
        <v>70</v>
      </c>
      <c r="C25" s="8">
        <v>0.14000000000000001</v>
      </c>
      <c r="D25" s="10">
        <v>0.1</v>
      </c>
      <c r="E25" s="10">
        <v>0.2</v>
      </c>
      <c r="F25" s="10">
        <v>0.3</v>
      </c>
      <c r="G25" s="10">
        <v>0.4</v>
      </c>
      <c r="H25" s="10">
        <v>0.5</v>
      </c>
      <c r="I25" s="10">
        <v>0.6</v>
      </c>
      <c r="J25" s="10">
        <v>0.7</v>
      </c>
      <c r="K25" s="10">
        <v>0.8</v>
      </c>
      <c r="L25" s="10">
        <v>0.9</v>
      </c>
      <c r="M25" s="10">
        <v>1</v>
      </c>
      <c r="N25" s="10">
        <v>2</v>
      </c>
      <c r="O25" s="10">
        <v>3</v>
      </c>
      <c r="P25" s="10">
        <v>4</v>
      </c>
      <c r="Q25" s="10">
        <v>5</v>
      </c>
      <c r="R25" s="10">
        <v>6</v>
      </c>
      <c r="S25" s="10">
        <v>7</v>
      </c>
      <c r="T25" s="10">
        <v>8</v>
      </c>
      <c r="U25" s="10">
        <v>9</v>
      </c>
      <c r="V25" s="10">
        <v>10</v>
      </c>
      <c r="W25" s="10">
        <v>20</v>
      </c>
      <c r="X25" s="10">
        <v>30</v>
      </c>
      <c r="Y25" s="10">
        <v>40</v>
      </c>
      <c r="Z25" s="10">
        <v>50</v>
      </c>
      <c r="AA25" s="10">
        <v>60</v>
      </c>
      <c r="AB25" s="10">
        <v>70</v>
      </c>
      <c r="AC25" s="10">
        <v>80</v>
      </c>
      <c r="AD25" s="10">
        <v>90</v>
      </c>
      <c r="AE25" s="11">
        <v>100</v>
      </c>
    </row>
    <row r="26" spans="2:33" x14ac:dyDescent="0.25">
      <c r="B26" s="8" t="s">
        <v>57</v>
      </c>
      <c r="C26" s="8">
        <f>AF26</f>
        <v>3</v>
      </c>
      <c r="D26" t="b">
        <f>IF(D24&lt;=$C$25,D25,FALSE)</f>
        <v>0</v>
      </c>
      <c r="E26" t="b">
        <f t="shared" ref="E26:AE26" si="5">IF(E24&lt;=$C$25,E25,FALSE)</f>
        <v>0</v>
      </c>
      <c r="F26" t="b">
        <f t="shared" si="5"/>
        <v>0</v>
      </c>
      <c r="G26" t="b">
        <f t="shared" si="5"/>
        <v>0</v>
      </c>
      <c r="H26" t="b">
        <f t="shared" si="5"/>
        <v>0</v>
      </c>
      <c r="I26" t="b">
        <f t="shared" si="5"/>
        <v>0</v>
      </c>
      <c r="J26" t="b">
        <f t="shared" si="5"/>
        <v>0</v>
      </c>
      <c r="K26" t="b">
        <f t="shared" si="5"/>
        <v>0</v>
      </c>
      <c r="L26" t="b">
        <f t="shared" si="5"/>
        <v>0</v>
      </c>
      <c r="M26" t="b">
        <f t="shared" si="5"/>
        <v>0</v>
      </c>
      <c r="N26" t="b">
        <f t="shared" si="5"/>
        <v>0</v>
      </c>
      <c r="O26">
        <f t="shared" si="5"/>
        <v>3</v>
      </c>
      <c r="P26">
        <f t="shared" si="5"/>
        <v>4</v>
      </c>
      <c r="Q26">
        <f t="shared" si="5"/>
        <v>5</v>
      </c>
      <c r="R26">
        <f t="shared" si="5"/>
        <v>6</v>
      </c>
      <c r="S26">
        <f t="shared" si="5"/>
        <v>7</v>
      </c>
      <c r="T26">
        <f t="shared" si="5"/>
        <v>8</v>
      </c>
      <c r="U26">
        <f t="shared" si="5"/>
        <v>9</v>
      </c>
      <c r="V26">
        <f t="shared" si="5"/>
        <v>10</v>
      </c>
      <c r="W26">
        <f t="shared" si="5"/>
        <v>20</v>
      </c>
      <c r="X26">
        <f t="shared" si="5"/>
        <v>30</v>
      </c>
      <c r="Y26">
        <f t="shared" si="5"/>
        <v>40</v>
      </c>
      <c r="Z26">
        <f t="shared" si="5"/>
        <v>50</v>
      </c>
      <c r="AA26">
        <f t="shared" si="5"/>
        <v>60</v>
      </c>
      <c r="AB26">
        <f t="shared" si="5"/>
        <v>70</v>
      </c>
      <c r="AC26">
        <f t="shared" si="5"/>
        <v>80</v>
      </c>
      <c r="AD26">
        <f t="shared" si="5"/>
        <v>90</v>
      </c>
      <c r="AE26">
        <f t="shared" si="5"/>
        <v>100</v>
      </c>
      <c r="AF26" s="171">
        <f>MIN(D26:AE26)</f>
        <v>3</v>
      </c>
    </row>
    <row r="27" spans="2:33" ht="15.75" thickBot="1" x14ac:dyDescent="0.3"/>
    <row r="28" spans="2:33" ht="15.75" thickBot="1" x14ac:dyDescent="0.3">
      <c r="B28" s="8" t="s">
        <v>71</v>
      </c>
      <c r="C28" s="8">
        <f>UVCE!$AE$19</f>
        <v>6</v>
      </c>
      <c r="D28" s="9">
        <f t="shared" ref="D28:AE28" si="6">HLOOKUP(D1,B1:AE13,$C$28+3)</f>
        <v>0.5</v>
      </c>
      <c r="E28" s="9">
        <f t="shared" si="6"/>
        <v>0.5</v>
      </c>
      <c r="F28" s="9">
        <f t="shared" si="6"/>
        <v>0.5</v>
      </c>
      <c r="G28" s="9">
        <f t="shared" si="6"/>
        <v>0.5</v>
      </c>
      <c r="H28" s="9">
        <f t="shared" si="6"/>
        <v>0.5</v>
      </c>
      <c r="I28" s="9">
        <f t="shared" si="6"/>
        <v>0.46</v>
      </c>
      <c r="J28" s="9">
        <f t="shared" si="6"/>
        <v>0.42</v>
      </c>
      <c r="K28" s="9">
        <f t="shared" si="6"/>
        <v>0.4</v>
      </c>
      <c r="L28" s="9">
        <f t="shared" si="6"/>
        <v>0.38</v>
      </c>
      <c r="M28" s="9">
        <f t="shared" si="6"/>
        <v>0.32</v>
      </c>
      <c r="N28" s="9">
        <f t="shared" si="6"/>
        <v>0.16</v>
      </c>
      <c r="O28" s="9">
        <f t="shared" si="6"/>
        <v>0.09</v>
      </c>
      <c r="P28" s="9">
        <f t="shared" si="6"/>
        <v>6.8000000000000005E-2</v>
      </c>
      <c r="Q28" s="9">
        <f t="shared" si="6"/>
        <v>5.0999999999999997E-2</v>
      </c>
      <c r="R28" s="9">
        <f t="shared" si="6"/>
        <v>4.2000000000000003E-2</v>
      </c>
      <c r="S28" s="9">
        <f t="shared" si="6"/>
        <v>3.6999999999999998E-2</v>
      </c>
      <c r="T28" s="9">
        <f t="shared" si="6"/>
        <v>0.03</v>
      </c>
      <c r="U28" s="9">
        <f t="shared" si="6"/>
        <v>2.8000000000000001E-2</v>
      </c>
      <c r="V28" s="9">
        <f t="shared" si="6"/>
        <v>2.4E-2</v>
      </c>
      <c r="W28" s="9">
        <f t="shared" si="6"/>
        <v>1.0999999999999999E-2</v>
      </c>
      <c r="X28" s="9">
        <f t="shared" si="6"/>
        <v>7.0000000000000001E-3</v>
      </c>
      <c r="Y28" s="9">
        <f t="shared" si="6"/>
        <v>5.0000000000000001E-3</v>
      </c>
      <c r="Z28" s="9">
        <f t="shared" si="6"/>
        <v>4.0000000000000001E-3</v>
      </c>
      <c r="AA28" s="9">
        <f t="shared" si="6"/>
        <v>3.3E-3</v>
      </c>
      <c r="AB28" s="9">
        <f t="shared" si="6"/>
        <v>2.8E-3</v>
      </c>
      <c r="AC28" s="9">
        <f t="shared" si="6"/>
        <v>2.5000000000000001E-3</v>
      </c>
      <c r="AD28" s="9">
        <f t="shared" si="6"/>
        <v>2E-3</v>
      </c>
      <c r="AE28" s="9">
        <f t="shared" si="6"/>
        <v>1.8E-3</v>
      </c>
    </row>
    <row r="29" spans="2:33" ht="15.75" thickBot="1" x14ac:dyDescent="0.3">
      <c r="B29" s="8" t="s">
        <v>70</v>
      </c>
      <c r="C29" s="8">
        <v>0.2</v>
      </c>
      <c r="D29" s="10">
        <v>0.1</v>
      </c>
      <c r="E29" s="10">
        <v>0.2</v>
      </c>
      <c r="F29" s="10">
        <v>0.3</v>
      </c>
      <c r="G29" s="10">
        <v>0.4</v>
      </c>
      <c r="H29" s="10">
        <v>0.5</v>
      </c>
      <c r="I29" s="10">
        <v>0.6</v>
      </c>
      <c r="J29" s="10">
        <v>0.7</v>
      </c>
      <c r="K29" s="10">
        <v>0.8</v>
      </c>
      <c r="L29" s="10">
        <v>0.9</v>
      </c>
      <c r="M29" s="10">
        <v>1</v>
      </c>
      <c r="N29" s="10">
        <v>2</v>
      </c>
      <c r="O29" s="10">
        <v>3</v>
      </c>
      <c r="P29" s="10">
        <v>4</v>
      </c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20</v>
      </c>
      <c r="X29" s="10">
        <v>30</v>
      </c>
      <c r="Y29" s="10">
        <v>40</v>
      </c>
      <c r="Z29" s="10">
        <v>50</v>
      </c>
      <c r="AA29" s="10">
        <v>60</v>
      </c>
      <c r="AB29" s="10">
        <v>70</v>
      </c>
      <c r="AC29" s="10">
        <v>80</v>
      </c>
      <c r="AD29" s="10">
        <v>90</v>
      </c>
      <c r="AE29" s="11">
        <v>100</v>
      </c>
    </row>
    <row r="30" spans="2:33" x14ac:dyDescent="0.25">
      <c r="B30" s="8" t="s">
        <v>57</v>
      </c>
      <c r="C30" s="8">
        <f>AF30</f>
        <v>2</v>
      </c>
      <c r="D30" t="b">
        <f>IF(D28&lt;=$C$29,D29,FALSE)</f>
        <v>0</v>
      </c>
      <c r="E30" t="b">
        <f t="shared" ref="E30:AE30" si="7">IF(E28&lt;=$C$29,E29,FALSE)</f>
        <v>0</v>
      </c>
      <c r="F30" t="b">
        <f t="shared" si="7"/>
        <v>0</v>
      </c>
      <c r="G30" t="b">
        <f t="shared" si="7"/>
        <v>0</v>
      </c>
      <c r="H30" t="b">
        <f t="shared" si="7"/>
        <v>0</v>
      </c>
      <c r="I30" t="b">
        <f t="shared" si="7"/>
        <v>0</v>
      </c>
      <c r="J30" t="b">
        <f t="shared" si="7"/>
        <v>0</v>
      </c>
      <c r="K30" t="b">
        <f t="shared" si="7"/>
        <v>0</v>
      </c>
      <c r="L30" t="b">
        <f t="shared" si="7"/>
        <v>0</v>
      </c>
      <c r="M30" t="b">
        <f t="shared" si="7"/>
        <v>0</v>
      </c>
      <c r="N30">
        <f t="shared" si="7"/>
        <v>2</v>
      </c>
      <c r="O30">
        <f t="shared" si="7"/>
        <v>3</v>
      </c>
      <c r="P30">
        <f t="shared" si="7"/>
        <v>4</v>
      </c>
      <c r="Q30">
        <f t="shared" si="7"/>
        <v>5</v>
      </c>
      <c r="R30">
        <f t="shared" si="7"/>
        <v>6</v>
      </c>
      <c r="S30">
        <f t="shared" si="7"/>
        <v>7</v>
      </c>
      <c r="T30">
        <f t="shared" si="7"/>
        <v>8</v>
      </c>
      <c r="U30">
        <f t="shared" si="7"/>
        <v>9</v>
      </c>
      <c r="V30">
        <f t="shared" si="7"/>
        <v>10</v>
      </c>
      <c r="W30">
        <f t="shared" si="7"/>
        <v>20</v>
      </c>
      <c r="X30">
        <f t="shared" si="7"/>
        <v>30</v>
      </c>
      <c r="Y30">
        <f t="shared" si="7"/>
        <v>40</v>
      </c>
      <c r="Z30">
        <f t="shared" si="7"/>
        <v>50</v>
      </c>
      <c r="AA30">
        <f t="shared" si="7"/>
        <v>60</v>
      </c>
      <c r="AB30">
        <f t="shared" si="7"/>
        <v>70</v>
      </c>
      <c r="AC30">
        <f t="shared" si="7"/>
        <v>80</v>
      </c>
      <c r="AD30">
        <f t="shared" si="7"/>
        <v>90</v>
      </c>
      <c r="AE30">
        <f t="shared" si="7"/>
        <v>100</v>
      </c>
      <c r="AF30" s="170">
        <f>MIN(D30:AE30)</f>
        <v>2</v>
      </c>
    </row>
    <row r="31" spans="2:33" ht="15.75" thickBot="1" x14ac:dyDescent="0.3"/>
    <row r="32" spans="2:33" ht="15.75" thickBot="1" x14ac:dyDescent="0.3">
      <c r="B32" s="8" t="s">
        <v>71</v>
      </c>
      <c r="C32" s="8">
        <f>UVCE!$AE$19</f>
        <v>6</v>
      </c>
      <c r="D32" s="9">
        <f t="shared" ref="D32:AE32" si="8">HLOOKUP(D1,B1:AE13,$C$32+3)</f>
        <v>0.5</v>
      </c>
      <c r="E32" s="9">
        <f t="shared" si="8"/>
        <v>0.5</v>
      </c>
      <c r="F32" s="9">
        <f t="shared" si="8"/>
        <v>0.5</v>
      </c>
      <c r="G32" s="9">
        <f t="shared" si="8"/>
        <v>0.5</v>
      </c>
      <c r="H32" s="9">
        <f t="shared" si="8"/>
        <v>0.5</v>
      </c>
      <c r="I32" s="9">
        <f t="shared" si="8"/>
        <v>0.46</v>
      </c>
      <c r="J32" s="9">
        <f t="shared" si="8"/>
        <v>0.42</v>
      </c>
      <c r="K32" s="9">
        <f t="shared" si="8"/>
        <v>0.4</v>
      </c>
      <c r="L32" s="9">
        <f t="shared" si="8"/>
        <v>0.38</v>
      </c>
      <c r="M32" s="9">
        <f t="shared" si="8"/>
        <v>0.32</v>
      </c>
      <c r="N32" s="9">
        <f t="shared" si="8"/>
        <v>0.16</v>
      </c>
      <c r="O32" s="9">
        <f t="shared" si="8"/>
        <v>0.09</v>
      </c>
      <c r="P32" s="9">
        <f t="shared" si="8"/>
        <v>6.8000000000000005E-2</v>
      </c>
      <c r="Q32" s="9">
        <f t="shared" si="8"/>
        <v>5.0999999999999997E-2</v>
      </c>
      <c r="R32" s="9">
        <f t="shared" si="8"/>
        <v>4.2000000000000003E-2</v>
      </c>
      <c r="S32" s="9">
        <f t="shared" si="8"/>
        <v>3.6999999999999998E-2</v>
      </c>
      <c r="T32" s="9">
        <f t="shared" si="8"/>
        <v>0.03</v>
      </c>
      <c r="U32" s="9">
        <f t="shared" si="8"/>
        <v>2.8000000000000001E-2</v>
      </c>
      <c r="V32" s="9">
        <f t="shared" si="8"/>
        <v>2.4E-2</v>
      </c>
      <c r="W32" s="9">
        <f t="shared" si="8"/>
        <v>1.0999999999999999E-2</v>
      </c>
      <c r="X32" s="9">
        <f t="shared" si="8"/>
        <v>7.0000000000000001E-3</v>
      </c>
      <c r="Y32" s="9">
        <f t="shared" si="8"/>
        <v>5.0000000000000001E-3</v>
      </c>
      <c r="Z32" s="9">
        <f t="shared" si="8"/>
        <v>4.0000000000000001E-3</v>
      </c>
      <c r="AA32" s="9">
        <f t="shared" si="8"/>
        <v>3.3E-3</v>
      </c>
      <c r="AB32" s="9">
        <f t="shared" si="8"/>
        <v>2.8E-3</v>
      </c>
      <c r="AC32" s="9">
        <f t="shared" si="8"/>
        <v>2.5000000000000001E-3</v>
      </c>
      <c r="AD32" s="9">
        <f t="shared" si="8"/>
        <v>2E-3</v>
      </c>
      <c r="AE32" s="9">
        <f t="shared" si="8"/>
        <v>1.8E-3</v>
      </c>
    </row>
    <row r="33" spans="2:38" ht="15.75" thickBot="1" x14ac:dyDescent="0.3">
      <c r="B33" s="8" t="s">
        <v>70</v>
      </c>
      <c r="C33" s="8">
        <f>AF34</f>
        <v>0.5</v>
      </c>
      <c r="D33" s="10">
        <v>0.1</v>
      </c>
      <c r="E33" s="10">
        <v>0.2</v>
      </c>
      <c r="F33" s="10">
        <v>0.3</v>
      </c>
      <c r="G33" s="10">
        <v>0.4</v>
      </c>
      <c r="H33" s="10">
        <v>0.5</v>
      </c>
      <c r="I33" s="10">
        <v>0.6</v>
      </c>
      <c r="J33" s="10">
        <v>0.7</v>
      </c>
      <c r="K33" s="10">
        <v>0.8</v>
      </c>
      <c r="L33" s="10">
        <v>0.9</v>
      </c>
      <c r="M33" s="10">
        <v>1</v>
      </c>
      <c r="N33" s="10">
        <v>2</v>
      </c>
      <c r="O33" s="10">
        <v>3</v>
      </c>
      <c r="P33" s="10">
        <v>4</v>
      </c>
      <c r="Q33" s="10">
        <v>5</v>
      </c>
      <c r="R33" s="10">
        <v>6</v>
      </c>
      <c r="S33" s="10">
        <v>7</v>
      </c>
      <c r="T33" s="10">
        <v>8</v>
      </c>
      <c r="U33" s="10">
        <v>9</v>
      </c>
      <c r="V33" s="10">
        <v>10</v>
      </c>
      <c r="W33" s="10">
        <v>20</v>
      </c>
      <c r="X33" s="10">
        <v>30</v>
      </c>
      <c r="Y33" s="10">
        <v>40</v>
      </c>
      <c r="Z33" s="10">
        <v>50</v>
      </c>
      <c r="AA33" s="10">
        <v>60</v>
      </c>
      <c r="AB33" s="10">
        <v>70</v>
      </c>
      <c r="AC33" s="10">
        <v>80</v>
      </c>
      <c r="AD33" s="10">
        <v>90</v>
      </c>
      <c r="AE33" s="11">
        <v>100</v>
      </c>
    </row>
    <row r="34" spans="2:38" x14ac:dyDescent="0.25">
      <c r="B34" s="8" t="s">
        <v>57</v>
      </c>
      <c r="C34" s="8">
        <f>ROUND(UVCE!AG9,1)</f>
        <v>0.2</v>
      </c>
      <c r="D34">
        <f>IF(D33&lt;=$C$34,D32,FALSE)</f>
        <v>0.5</v>
      </c>
      <c r="E34">
        <f t="shared" ref="E34:AE34" si="9">IF(E33&lt;=$C$34,E32,FALSE)</f>
        <v>0.5</v>
      </c>
      <c r="F34" t="b">
        <f t="shared" si="9"/>
        <v>0</v>
      </c>
      <c r="G34" t="b">
        <f t="shared" si="9"/>
        <v>0</v>
      </c>
      <c r="H34" t="b">
        <f t="shared" si="9"/>
        <v>0</v>
      </c>
      <c r="I34" t="b">
        <f t="shared" si="9"/>
        <v>0</v>
      </c>
      <c r="J34" t="b">
        <f t="shared" si="9"/>
        <v>0</v>
      </c>
      <c r="K34" t="b">
        <f t="shared" si="9"/>
        <v>0</v>
      </c>
      <c r="L34" t="b">
        <f t="shared" si="9"/>
        <v>0</v>
      </c>
      <c r="M34" t="b">
        <f t="shared" si="9"/>
        <v>0</v>
      </c>
      <c r="N34" t="b">
        <f t="shared" si="9"/>
        <v>0</v>
      </c>
      <c r="O34" t="b">
        <f t="shared" si="9"/>
        <v>0</v>
      </c>
      <c r="P34" t="b">
        <f t="shared" si="9"/>
        <v>0</v>
      </c>
      <c r="Q34" t="b">
        <f t="shared" si="9"/>
        <v>0</v>
      </c>
      <c r="R34" t="b">
        <f t="shared" si="9"/>
        <v>0</v>
      </c>
      <c r="S34" t="b">
        <f t="shared" si="9"/>
        <v>0</v>
      </c>
      <c r="T34" t="b">
        <f t="shared" si="9"/>
        <v>0</v>
      </c>
      <c r="U34" t="b">
        <f t="shared" si="9"/>
        <v>0</v>
      </c>
      <c r="V34" t="b">
        <f t="shared" si="9"/>
        <v>0</v>
      </c>
      <c r="W34" t="b">
        <f t="shared" si="9"/>
        <v>0</v>
      </c>
      <c r="X34" t="b">
        <f t="shared" si="9"/>
        <v>0</v>
      </c>
      <c r="Y34" t="b">
        <f t="shared" si="9"/>
        <v>0</v>
      </c>
      <c r="Z34" t="b">
        <f t="shared" si="9"/>
        <v>0</v>
      </c>
      <c r="AA34" t="b">
        <f t="shared" si="9"/>
        <v>0</v>
      </c>
      <c r="AB34" t="b">
        <f t="shared" si="9"/>
        <v>0</v>
      </c>
      <c r="AC34" t="b">
        <f t="shared" si="9"/>
        <v>0</v>
      </c>
      <c r="AD34" t="b">
        <f t="shared" si="9"/>
        <v>0</v>
      </c>
      <c r="AE34" t="b">
        <f t="shared" si="9"/>
        <v>0</v>
      </c>
      <c r="AF34">
        <f>MIN(D34:AE34)</f>
        <v>0.5</v>
      </c>
    </row>
    <row r="35" spans="2:38" x14ac:dyDescent="0.25">
      <c r="AJ35" t="s">
        <v>33</v>
      </c>
      <c r="AK35" t="s">
        <v>34</v>
      </c>
      <c r="AL35" t="s">
        <v>35</v>
      </c>
    </row>
    <row r="36" spans="2:38" x14ac:dyDescent="0.25">
      <c r="AJ36">
        <v>4</v>
      </c>
      <c r="AK36">
        <v>1</v>
      </c>
      <c r="AL36" s="3">
        <f>-SQRT(AJ36*AJ36-(AK36*AK36))</f>
        <v>-3.872983346207417</v>
      </c>
    </row>
    <row r="37" spans="2:38" x14ac:dyDescent="0.25">
      <c r="AJ37">
        <v>4</v>
      </c>
      <c r="AK37">
        <v>2</v>
      </c>
      <c r="AL37" s="3">
        <f t="shared" ref="AL37:AL46" si="10">SQRT(AJ37*AJ37-(AK37*AK37))</f>
        <v>3.4641016151377544</v>
      </c>
    </row>
    <row r="38" spans="2:38" ht="15.75" thickBot="1" x14ac:dyDescent="0.3">
      <c r="AJ38">
        <v>4</v>
      </c>
      <c r="AK38">
        <v>3</v>
      </c>
      <c r="AL38" s="3">
        <f t="shared" si="10"/>
        <v>2.6457513110645907</v>
      </c>
    </row>
    <row r="39" spans="2:38" ht="15.75" thickBot="1" x14ac:dyDescent="0.3">
      <c r="B39" s="8" t="s">
        <v>71</v>
      </c>
      <c r="C39" s="8">
        <f>UVCE!$AE$19</f>
        <v>6</v>
      </c>
      <c r="D39" s="9">
        <f>HLOOKUP(D1,B1:AE13,$C$39+3)</f>
        <v>0.5</v>
      </c>
      <c r="E39" s="9">
        <f t="shared" ref="E39:AE39" si="11">HLOOKUP(E1,C1:AF13,$C$39+3)</f>
        <v>0.5</v>
      </c>
      <c r="F39" s="9">
        <f t="shared" si="11"/>
        <v>0.5</v>
      </c>
      <c r="G39" s="9">
        <f t="shared" si="11"/>
        <v>0.5</v>
      </c>
      <c r="H39" s="9">
        <f t="shared" si="11"/>
        <v>0.5</v>
      </c>
      <c r="I39" s="9">
        <f t="shared" si="11"/>
        <v>0.46</v>
      </c>
      <c r="J39" s="9">
        <f t="shared" si="11"/>
        <v>0.42</v>
      </c>
      <c r="K39" s="9">
        <f t="shared" si="11"/>
        <v>0.4</v>
      </c>
      <c r="L39" s="9">
        <f t="shared" si="11"/>
        <v>0.38</v>
      </c>
      <c r="M39" s="9">
        <f t="shared" si="11"/>
        <v>0.32</v>
      </c>
      <c r="N39" s="9">
        <f t="shared" si="11"/>
        <v>0.16</v>
      </c>
      <c r="O39" s="9">
        <f t="shared" si="11"/>
        <v>0.09</v>
      </c>
      <c r="P39" s="9">
        <f t="shared" si="11"/>
        <v>6.8000000000000005E-2</v>
      </c>
      <c r="Q39" s="9">
        <f t="shared" si="11"/>
        <v>5.0999999999999997E-2</v>
      </c>
      <c r="R39" s="9">
        <f t="shared" si="11"/>
        <v>4.2000000000000003E-2</v>
      </c>
      <c r="S39" s="9">
        <f t="shared" si="11"/>
        <v>3.6999999999999998E-2</v>
      </c>
      <c r="T39" s="9">
        <f t="shared" si="11"/>
        <v>0.03</v>
      </c>
      <c r="U39" s="9">
        <f t="shared" si="11"/>
        <v>2.8000000000000001E-2</v>
      </c>
      <c r="V39" s="9">
        <f t="shared" si="11"/>
        <v>2.4E-2</v>
      </c>
      <c r="W39" s="9">
        <f t="shared" si="11"/>
        <v>1.0999999999999999E-2</v>
      </c>
      <c r="X39" s="9">
        <f t="shared" si="11"/>
        <v>7.0000000000000001E-3</v>
      </c>
      <c r="Y39" s="9">
        <f t="shared" si="11"/>
        <v>5.0000000000000001E-3</v>
      </c>
      <c r="Z39" s="9">
        <f t="shared" si="11"/>
        <v>4.0000000000000001E-3</v>
      </c>
      <c r="AA39" s="9">
        <f t="shared" si="11"/>
        <v>3.3E-3</v>
      </c>
      <c r="AB39" s="9">
        <f t="shared" si="11"/>
        <v>2.8E-3</v>
      </c>
      <c r="AC39" s="9">
        <f t="shared" si="11"/>
        <v>2.5000000000000001E-3</v>
      </c>
      <c r="AD39" s="9">
        <f t="shared" si="11"/>
        <v>2E-3</v>
      </c>
      <c r="AE39" s="9">
        <f t="shared" si="11"/>
        <v>1.8E-3</v>
      </c>
      <c r="AJ39">
        <v>4</v>
      </c>
      <c r="AK39">
        <v>4</v>
      </c>
      <c r="AL39" s="3">
        <f t="shared" si="10"/>
        <v>0</v>
      </c>
    </row>
    <row r="40" spans="2:38" ht="15.75" thickBot="1" x14ac:dyDescent="0.3">
      <c r="B40" s="8" t="s">
        <v>70</v>
      </c>
      <c r="C40" s="8">
        <f>UVCE!AE11</f>
        <v>0.02</v>
      </c>
      <c r="D40" s="10">
        <v>0.1</v>
      </c>
      <c r="E40" s="10">
        <v>0.2</v>
      </c>
      <c r="F40" s="10">
        <v>0.3</v>
      </c>
      <c r="G40" s="10">
        <v>0.4</v>
      </c>
      <c r="H40" s="10">
        <v>0.5</v>
      </c>
      <c r="I40" s="10">
        <v>0.6</v>
      </c>
      <c r="J40" s="10">
        <v>0.7</v>
      </c>
      <c r="K40" s="10">
        <v>0.8</v>
      </c>
      <c r="L40" s="10">
        <v>0.9</v>
      </c>
      <c r="M40" s="10">
        <v>1</v>
      </c>
      <c r="N40" s="10">
        <v>2</v>
      </c>
      <c r="O40" s="10">
        <v>3</v>
      </c>
      <c r="P40" s="10">
        <v>4</v>
      </c>
      <c r="Q40" s="10">
        <v>5</v>
      </c>
      <c r="R40" s="10">
        <v>6</v>
      </c>
      <c r="S40" s="10">
        <v>7</v>
      </c>
      <c r="T40" s="10">
        <v>8</v>
      </c>
      <c r="U40" s="10">
        <v>9</v>
      </c>
      <c r="V40" s="10">
        <v>10</v>
      </c>
      <c r="W40" s="10">
        <v>20</v>
      </c>
      <c r="X40" s="10">
        <v>30</v>
      </c>
      <c r="Y40" s="10">
        <v>40</v>
      </c>
      <c r="Z40" s="10">
        <v>50</v>
      </c>
      <c r="AA40" s="10">
        <v>60</v>
      </c>
      <c r="AB40" s="10">
        <v>70</v>
      </c>
      <c r="AC40" s="10">
        <v>80</v>
      </c>
      <c r="AD40" s="10">
        <v>90</v>
      </c>
      <c r="AE40" s="11">
        <v>100</v>
      </c>
      <c r="AJ40">
        <v>4</v>
      </c>
      <c r="AK40">
        <v>5</v>
      </c>
      <c r="AL40" s="3" t="e">
        <f>SQRT(AJ40*AJ40-(AK40*AK40))</f>
        <v>#NUM!</v>
      </c>
    </row>
    <row r="41" spans="2:38" x14ac:dyDescent="0.25">
      <c r="B41" s="8" t="s">
        <v>57</v>
      </c>
      <c r="C41" s="8">
        <f>AF41</f>
        <v>20</v>
      </c>
      <c r="D41" t="b">
        <f>IF(D39&lt;=$C$40,D40,FALSE)</f>
        <v>0</v>
      </c>
      <c r="E41" t="b">
        <f t="shared" ref="E41:AE41" si="12">IF(E39&lt;=$C$40,E40,FALSE)</f>
        <v>0</v>
      </c>
      <c r="F41" t="b">
        <f t="shared" si="12"/>
        <v>0</v>
      </c>
      <c r="G41" t="b">
        <f t="shared" si="12"/>
        <v>0</v>
      </c>
      <c r="H41" t="b">
        <f t="shared" si="12"/>
        <v>0</v>
      </c>
      <c r="I41" t="b">
        <f t="shared" si="12"/>
        <v>0</v>
      </c>
      <c r="J41" t="b">
        <f t="shared" si="12"/>
        <v>0</v>
      </c>
      <c r="K41" t="b">
        <f t="shared" si="12"/>
        <v>0</v>
      </c>
      <c r="L41" t="b">
        <f t="shared" si="12"/>
        <v>0</v>
      </c>
      <c r="M41" t="b">
        <f t="shared" si="12"/>
        <v>0</v>
      </c>
      <c r="N41" t="b">
        <f t="shared" si="12"/>
        <v>0</v>
      </c>
      <c r="O41" t="b">
        <f t="shared" si="12"/>
        <v>0</v>
      </c>
      <c r="P41" t="b">
        <f t="shared" si="12"/>
        <v>0</v>
      </c>
      <c r="Q41" t="b">
        <f t="shared" si="12"/>
        <v>0</v>
      </c>
      <c r="R41" t="b">
        <f t="shared" si="12"/>
        <v>0</v>
      </c>
      <c r="S41" t="b">
        <f t="shared" si="12"/>
        <v>0</v>
      </c>
      <c r="T41" t="b">
        <f t="shared" si="12"/>
        <v>0</v>
      </c>
      <c r="U41" t="b">
        <f t="shared" si="12"/>
        <v>0</v>
      </c>
      <c r="V41" t="b">
        <f t="shared" si="12"/>
        <v>0</v>
      </c>
      <c r="W41">
        <f t="shared" si="12"/>
        <v>20</v>
      </c>
      <c r="X41">
        <f t="shared" si="12"/>
        <v>30</v>
      </c>
      <c r="Y41">
        <f t="shared" si="12"/>
        <v>40</v>
      </c>
      <c r="Z41">
        <f t="shared" si="12"/>
        <v>50</v>
      </c>
      <c r="AA41">
        <f t="shared" si="12"/>
        <v>60</v>
      </c>
      <c r="AB41">
        <f t="shared" si="12"/>
        <v>70</v>
      </c>
      <c r="AC41">
        <f t="shared" si="12"/>
        <v>80</v>
      </c>
      <c r="AD41">
        <f t="shared" si="12"/>
        <v>90</v>
      </c>
      <c r="AE41">
        <f t="shared" si="12"/>
        <v>100</v>
      </c>
      <c r="AF41">
        <f>MIN(D41:AE41)</f>
        <v>20</v>
      </c>
      <c r="AJ41">
        <v>4</v>
      </c>
      <c r="AK41">
        <v>6</v>
      </c>
      <c r="AL41" s="3" t="e">
        <f t="shared" si="10"/>
        <v>#NUM!</v>
      </c>
    </row>
    <row r="42" spans="2:38" ht="15.75" thickBot="1" x14ac:dyDescent="0.3">
      <c r="AJ42">
        <v>4</v>
      </c>
      <c r="AK42">
        <v>7</v>
      </c>
      <c r="AL42" s="3" t="e">
        <f t="shared" si="10"/>
        <v>#NUM!</v>
      </c>
    </row>
    <row r="43" spans="2:38" ht="15.75" thickBot="1" x14ac:dyDescent="0.3">
      <c r="B43" s="8" t="s">
        <v>71</v>
      </c>
      <c r="C43" s="8">
        <f>UVCE!$AE$19</f>
        <v>6</v>
      </c>
      <c r="D43" s="9">
        <f>HLOOKUP(D1,B1:AE13,$C$39+3)</f>
        <v>0.5</v>
      </c>
      <c r="E43" s="9">
        <f t="shared" ref="E43:AE43" si="13">HLOOKUP(E1,C1:AF13,$C$39+3)</f>
        <v>0.5</v>
      </c>
      <c r="F43" s="9">
        <f t="shared" si="13"/>
        <v>0.5</v>
      </c>
      <c r="G43" s="9">
        <f t="shared" si="13"/>
        <v>0.5</v>
      </c>
      <c r="H43" s="9">
        <f t="shared" si="13"/>
        <v>0.5</v>
      </c>
      <c r="I43" s="9">
        <f t="shared" si="13"/>
        <v>0.46</v>
      </c>
      <c r="J43" s="9">
        <f t="shared" si="13"/>
        <v>0.42</v>
      </c>
      <c r="K43" s="9">
        <f t="shared" si="13"/>
        <v>0.4</v>
      </c>
      <c r="L43" s="9">
        <f t="shared" si="13"/>
        <v>0.38</v>
      </c>
      <c r="M43" s="9">
        <f t="shared" si="13"/>
        <v>0.32</v>
      </c>
      <c r="N43" s="9">
        <f t="shared" si="13"/>
        <v>0.16</v>
      </c>
      <c r="O43" s="9">
        <f t="shared" si="13"/>
        <v>0.09</v>
      </c>
      <c r="P43" s="9">
        <f t="shared" si="13"/>
        <v>6.8000000000000005E-2</v>
      </c>
      <c r="Q43" s="9">
        <f t="shared" si="13"/>
        <v>5.0999999999999997E-2</v>
      </c>
      <c r="R43" s="9">
        <f t="shared" si="13"/>
        <v>4.2000000000000003E-2</v>
      </c>
      <c r="S43" s="9">
        <f t="shared" si="13"/>
        <v>3.6999999999999998E-2</v>
      </c>
      <c r="T43" s="9">
        <f t="shared" si="13"/>
        <v>0.03</v>
      </c>
      <c r="U43" s="9">
        <f t="shared" si="13"/>
        <v>2.8000000000000001E-2</v>
      </c>
      <c r="V43" s="9">
        <f t="shared" si="13"/>
        <v>2.4E-2</v>
      </c>
      <c r="W43" s="9">
        <f t="shared" si="13"/>
        <v>1.0999999999999999E-2</v>
      </c>
      <c r="X43" s="9">
        <f t="shared" si="13"/>
        <v>7.0000000000000001E-3</v>
      </c>
      <c r="Y43" s="9">
        <f t="shared" si="13"/>
        <v>5.0000000000000001E-3</v>
      </c>
      <c r="Z43" s="9">
        <f t="shared" si="13"/>
        <v>4.0000000000000001E-3</v>
      </c>
      <c r="AA43" s="9">
        <f t="shared" si="13"/>
        <v>3.3E-3</v>
      </c>
      <c r="AB43" s="9">
        <f t="shared" si="13"/>
        <v>2.8E-3</v>
      </c>
      <c r="AC43" s="9">
        <f t="shared" si="13"/>
        <v>2.5000000000000001E-3</v>
      </c>
      <c r="AD43" s="9">
        <f t="shared" si="13"/>
        <v>2E-3</v>
      </c>
      <c r="AE43" s="9">
        <f t="shared" si="13"/>
        <v>1.8E-3</v>
      </c>
      <c r="AJ43">
        <v>4</v>
      </c>
      <c r="AK43">
        <v>8</v>
      </c>
      <c r="AL43" s="3" t="e">
        <f t="shared" si="10"/>
        <v>#NUM!</v>
      </c>
    </row>
    <row r="44" spans="2:38" ht="15.75" thickBot="1" x14ac:dyDescent="0.3">
      <c r="B44" s="8" t="s">
        <v>70</v>
      </c>
      <c r="C44" s="8">
        <v>0.05</v>
      </c>
      <c r="D44" s="10">
        <v>0.1</v>
      </c>
      <c r="E44" s="10">
        <v>0.2</v>
      </c>
      <c r="F44" s="10">
        <v>0.3</v>
      </c>
      <c r="G44" s="10">
        <v>0.4</v>
      </c>
      <c r="H44" s="10">
        <v>0.5</v>
      </c>
      <c r="I44" s="10">
        <v>0.6</v>
      </c>
      <c r="J44" s="10">
        <v>0.7</v>
      </c>
      <c r="K44" s="10">
        <v>0.8</v>
      </c>
      <c r="L44" s="10">
        <v>0.9</v>
      </c>
      <c r="M44" s="10">
        <v>1</v>
      </c>
      <c r="N44" s="10">
        <v>2</v>
      </c>
      <c r="O44" s="10">
        <v>3</v>
      </c>
      <c r="P44" s="10">
        <v>4</v>
      </c>
      <c r="Q44" s="10">
        <v>5</v>
      </c>
      <c r="R44" s="10">
        <v>6</v>
      </c>
      <c r="S44" s="10">
        <v>7</v>
      </c>
      <c r="T44" s="10">
        <v>8</v>
      </c>
      <c r="U44" s="10">
        <v>9</v>
      </c>
      <c r="V44" s="10">
        <v>10</v>
      </c>
      <c r="W44" s="10">
        <v>20</v>
      </c>
      <c r="X44" s="10">
        <v>30</v>
      </c>
      <c r="Y44" s="10">
        <v>40</v>
      </c>
      <c r="Z44" s="10">
        <v>50</v>
      </c>
      <c r="AA44" s="10">
        <v>60</v>
      </c>
      <c r="AB44" s="10">
        <v>70</v>
      </c>
      <c r="AC44" s="10">
        <v>80</v>
      </c>
      <c r="AD44" s="10">
        <v>90</v>
      </c>
      <c r="AE44" s="11">
        <v>100</v>
      </c>
      <c r="AJ44">
        <v>4</v>
      </c>
      <c r="AK44">
        <v>9</v>
      </c>
      <c r="AL44" s="3" t="e">
        <f t="shared" si="10"/>
        <v>#NUM!</v>
      </c>
    </row>
    <row r="45" spans="2:38" x14ac:dyDescent="0.25">
      <c r="B45" s="8" t="s">
        <v>57</v>
      </c>
      <c r="C45" s="8">
        <f>AF45</f>
        <v>6</v>
      </c>
      <c r="D45" t="b">
        <f>IF(D43&lt;=$C$44,D44,FALSE)</f>
        <v>0</v>
      </c>
      <c r="E45" t="b">
        <f t="shared" ref="E45:AE45" si="14">IF(E43&lt;=$C$44,E44,FALSE)</f>
        <v>0</v>
      </c>
      <c r="F45" t="b">
        <f t="shared" si="14"/>
        <v>0</v>
      </c>
      <c r="G45" t="b">
        <f t="shared" si="14"/>
        <v>0</v>
      </c>
      <c r="H45" t="b">
        <f t="shared" si="14"/>
        <v>0</v>
      </c>
      <c r="I45" t="b">
        <f t="shared" si="14"/>
        <v>0</v>
      </c>
      <c r="J45" t="b">
        <f t="shared" si="14"/>
        <v>0</v>
      </c>
      <c r="K45" t="b">
        <f t="shared" si="14"/>
        <v>0</v>
      </c>
      <c r="L45" t="b">
        <f t="shared" si="14"/>
        <v>0</v>
      </c>
      <c r="M45" t="b">
        <f t="shared" si="14"/>
        <v>0</v>
      </c>
      <c r="N45" t="b">
        <f t="shared" si="14"/>
        <v>0</v>
      </c>
      <c r="O45" t="b">
        <f t="shared" si="14"/>
        <v>0</v>
      </c>
      <c r="P45" t="b">
        <f t="shared" si="14"/>
        <v>0</v>
      </c>
      <c r="Q45" t="b">
        <f t="shared" si="14"/>
        <v>0</v>
      </c>
      <c r="R45">
        <f t="shared" si="14"/>
        <v>6</v>
      </c>
      <c r="S45">
        <f t="shared" si="14"/>
        <v>7</v>
      </c>
      <c r="T45">
        <f t="shared" si="14"/>
        <v>8</v>
      </c>
      <c r="U45">
        <f t="shared" si="14"/>
        <v>9</v>
      </c>
      <c r="V45">
        <f t="shared" si="14"/>
        <v>10</v>
      </c>
      <c r="W45">
        <f t="shared" si="14"/>
        <v>20</v>
      </c>
      <c r="X45">
        <f t="shared" si="14"/>
        <v>30</v>
      </c>
      <c r="Y45">
        <f t="shared" si="14"/>
        <v>40</v>
      </c>
      <c r="Z45">
        <f t="shared" si="14"/>
        <v>50</v>
      </c>
      <c r="AA45">
        <f t="shared" si="14"/>
        <v>60</v>
      </c>
      <c r="AB45">
        <f t="shared" si="14"/>
        <v>70</v>
      </c>
      <c r="AC45">
        <f t="shared" si="14"/>
        <v>80</v>
      </c>
      <c r="AD45">
        <f t="shared" si="14"/>
        <v>90</v>
      </c>
      <c r="AE45">
        <f t="shared" si="14"/>
        <v>100</v>
      </c>
      <c r="AF45">
        <f>MIN(D45:AE45)</f>
        <v>6</v>
      </c>
      <c r="AJ45">
        <v>4</v>
      </c>
      <c r="AK45">
        <v>10</v>
      </c>
      <c r="AL45" s="3" t="e">
        <f t="shared" si="10"/>
        <v>#NUM!</v>
      </c>
    </row>
    <row r="46" spans="2:38" ht="15.75" thickBot="1" x14ac:dyDescent="0.3">
      <c r="AJ46">
        <v>4</v>
      </c>
      <c r="AK46">
        <v>11</v>
      </c>
      <c r="AL46" s="3" t="e">
        <f t="shared" si="10"/>
        <v>#NUM!</v>
      </c>
    </row>
    <row r="47" spans="2:38" ht="15.75" thickBot="1" x14ac:dyDescent="0.3">
      <c r="B47" s="8" t="s">
        <v>71</v>
      </c>
      <c r="C47" s="8">
        <f>UVCE!$AE$19</f>
        <v>6</v>
      </c>
      <c r="D47" s="9">
        <f>HLOOKUP(D1,B1:AE13,$C$39+3)</f>
        <v>0.5</v>
      </c>
      <c r="E47" s="9">
        <f t="shared" ref="E47:AE47" si="15">HLOOKUP(E1,C1:AF13,$C$39+3)</f>
        <v>0.5</v>
      </c>
      <c r="F47" s="9">
        <f t="shared" si="15"/>
        <v>0.5</v>
      </c>
      <c r="G47" s="9">
        <f t="shared" si="15"/>
        <v>0.5</v>
      </c>
      <c r="H47" s="9">
        <f t="shared" si="15"/>
        <v>0.5</v>
      </c>
      <c r="I47" s="9">
        <f t="shared" si="15"/>
        <v>0.46</v>
      </c>
      <c r="J47" s="9">
        <f t="shared" si="15"/>
        <v>0.42</v>
      </c>
      <c r="K47" s="9">
        <f t="shared" si="15"/>
        <v>0.4</v>
      </c>
      <c r="L47" s="9">
        <f t="shared" si="15"/>
        <v>0.38</v>
      </c>
      <c r="M47" s="9">
        <f t="shared" si="15"/>
        <v>0.32</v>
      </c>
      <c r="N47" s="9">
        <f t="shared" si="15"/>
        <v>0.16</v>
      </c>
      <c r="O47" s="9">
        <f t="shared" si="15"/>
        <v>0.09</v>
      </c>
      <c r="P47" s="9">
        <f t="shared" si="15"/>
        <v>6.8000000000000005E-2</v>
      </c>
      <c r="Q47" s="9">
        <f t="shared" si="15"/>
        <v>5.0999999999999997E-2</v>
      </c>
      <c r="R47" s="9">
        <f t="shared" si="15"/>
        <v>4.2000000000000003E-2</v>
      </c>
      <c r="S47" s="9">
        <f t="shared" si="15"/>
        <v>3.6999999999999998E-2</v>
      </c>
      <c r="T47" s="9">
        <f t="shared" si="15"/>
        <v>0.03</v>
      </c>
      <c r="U47" s="9">
        <f t="shared" si="15"/>
        <v>2.8000000000000001E-2</v>
      </c>
      <c r="V47" s="9">
        <f t="shared" si="15"/>
        <v>2.4E-2</v>
      </c>
      <c r="W47" s="9">
        <f t="shared" si="15"/>
        <v>1.0999999999999999E-2</v>
      </c>
      <c r="X47" s="9">
        <f t="shared" si="15"/>
        <v>7.0000000000000001E-3</v>
      </c>
      <c r="Y47" s="9">
        <f t="shared" si="15"/>
        <v>5.0000000000000001E-3</v>
      </c>
      <c r="Z47" s="9">
        <f t="shared" si="15"/>
        <v>4.0000000000000001E-3</v>
      </c>
      <c r="AA47" s="9">
        <f t="shared" si="15"/>
        <v>3.3E-3</v>
      </c>
      <c r="AB47" s="9">
        <f t="shared" si="15"/>
        <v>2.8E-3</v>
      </c>
      <c r="AC47" s="9">
        <f t="shared" si="15"/>
        <v>2.5000000000000001E-3</v>
      </c>
      <c r="AD47" s="9">
        <f t="shared" si="15"/>
        <v>2E-3</v>
      </c>
      <c r="AE47" s="9">
        <f t="shared" si="15"/>
        <v>1.8E-3</v>
      </c>
      <c r="AJ47">
        <v>4</v>
      </c>
    </row>
    <row r="48" spans="2:38" ht="15.75" thickBot="1" x14ac:dyDescent="0.3">
      <c r="B48" s="8" t="s">
        <v>70</v>
      </c>
      <c r="C48" s="8">
        <v>0.14000000000000001</v>
      </c>
      <c r="D48" s="10">
        <v>0.1</v>
      </c>
      <c r="E48" s="10">
        <v>0.2</v>
      </c>
      <c r="F48" s="10">
        <v>0.3</v>
      </c>
      <c r="G48" s="10">
        <v>0.4</v>
      </c>
      <c r="H48" s="10">
        <v>0.5</v>
      </c>
      <c r="I48" s="10">
        <v>0.6</v>
      </c>
      <c r="J48" s="10">
        <v>0.7</v>
      </c>
      <c r="K48" s="10">
        <v>0.8</v>
      </c>
      <c r="L48" s="10">
        <v>0.9</v>
      </c>
      <c r="M48" s="10">
        <v>1</v>
      </c>
      <c r="N48" s="10">
        <v>2</v>
      </c>
      <c r="O48" s="10">
        <v>3</v>
      </c>
      <c r="P48" s="10">
        <v>4</v>
      </c>
      <c r="Q48" s="10">
        <v>5</v>
      </c>
      <c r="R48" s="10">
        <v>6</v>
      </c>
      <c r="S48" s="10">
        <v>7</v>
      </c>
      <c r="T48" s="10">
        <v>8</v>
      </c>
      <c r="U48" s="10">
        <v>9</v>
      </c>
      <c r="V48" s="10">
        <v>10</v>
      </c>
      <c r="W48" s="10">
        <v>20</v>
      </c>
      <c r="X48" s="10">
        <v>30</v>
      </c>
      <c r="Y48" s="10">
        <v>40</v>
      </c>
      <c r="Z48" s="10">
        <v>50</v>
      </c>
      <c r="AA48" s="10">
        <v>60</v>
      </c>
      <c r="AB48" s="10">
        <v>70</v>
      </c>
      <c r="AC48" s="10">
        <v>80</v>
      </c>
      <c r="AD48" s="10">
        <v>90</v>
      </c>
      <c r="AE48" s="11">
        <v>100</v>
      </c>
    </row>
    <row r="49" spans="2:32" x14ac:dyDescent="0.25">
      <c r="B49" s="8" t="s">
        <v>57</v>
      </c>
      <c r="C49" s="8">
        <f>AF49</f>
        <v>3</v>
      </c>
      <c r="D49" t="b">
        <f>IF(D47&lt;=$C$48,D48,FALSE)</f>
        <v>0</v>
      </c>
      <c r="E49" t="b">
        <f t="shared" ref="E49:AE49" si="16">IF(E47&lt;=$C$48,E48,FALSE)</f>
        <v>0</v>
      </c>
      <c r="F49" t="b">
        <f t="shared" si="16"/>
        <v>0</v>
      </c>
      <c r="G49" t="b">
        <f t="shared" si="16"/>
        <v>0</v>
      </c>
      <c r="H49" t="b">
        <f t="shared" si="16"/>
        <v>0</v>
      </c>
      <c r="I49" t="b">
        <f t="shared" si="16"/>
        <v>0</v>
      </c>
      <c r="J49" t="b">
        <f t="shared" si="16"/>
        <v>0</v>
      </c>
      <c r="K49" t="b">
        <f t="shared" si="16"/>
        <v>0</v>
      </c>
      <c r="L49" t="b">
        <f t="shared" si="16"/>
        <v>0</v>
      </c>
      <c r="M49" t="b">
        <f t="shared" si="16"/>
        <v>0</v>
      </c>
      <c r="N49" t="b">
        <f t="shared" si="16"/>
        <v>0</v>
      </c>
      <c r="O49">
        <f t="shared" si="16"/>
        <v>3</v>
      </c>
      <c r="P49">
        <f t="shared" si="16"/>
        <v>4</v>
      </c>
      <c r="Q49">
        <f t="shared" si="16"/>
        <v>5</v>
      </c>
      <c r="R49">
        <f t="shared" si="16"/>
        <v>6</v>
      </c>
      <c r="S49">
        <f t="shared" si="16"/>
        <v>7</v>
      </c>
      <c r="T49">
        <f t="shared" si="16"/>
        <v>8</v>
      </c>
      <c r="U49">
        <f t="shared" si="16"/>
        <v>9</v>
      </c>
      <c r="V49">
        <f t="shared" si="16"/>
        <v>10</v>
      </c>
      <c r="W49">
        <f t="shared" si="16"/>
        <v>20</v>
      </c>
      <c r="X49">
        <f t="shared" si="16"/>
        <v>30</v>
      </c>
      <c r="Y49">
        <f t="shared" si="16"/>
        <v>40</v>
      </c>
      <c r="Z49">
        <f t="shared" si="16"/>
        <v>50</v>
      </c>
      <c r="AA49">
        <f t="shared" si="16"/>
        <v>60</v>
      </c>
      <c r="AB49">
        <f t="shared" si="16"/>
        <v>70</v>
      </c>
      <c r="AC49">
        <f t="shared" si="16"/>
        <v>80</v>
      </c>
      <c r="AD49">
        <f t="shared" si="16"/>
        <v>90</v>
      </c>
      <c r="AE49">
        <f t="shared" si="16"/>
        <v>100</v>
      </c>
      <c r="AF49">
        <f>MIN(D49:AE49)</f>
        <v>3</v>
      </c>
    </row>
    <row r="50" spans="2:32" ht="15.75" thickBot="1" x14ac:dyDescent="0.3"/>
    <row r="51" spans="2:32" ht="15.75" thickBot="1" x14ac:dyDescent="0.3">
      <c r="B51" s="8" t="s">
        <v>71</v>
      </c>
      <c r="C51" s="8">
        <f>UVCE!$AE$19</f>
        <v>6</v>
      </c>
      <c r="D51" s="9">
        <f>HLOOKUP(D1,B1:AE13,$C$39+3)</f>
        <v>0.5</v>
      </c>
      <c r="E51" s="9">
        <f t="shared" ref="E51:AE51" si="17">HLOOKUP(E1,C1:AF13,$C$39+3)</f>
        <v>0.5</v>
      </c>
      <c r="F51" s="9">
        <f t="shared" si="17"/>
        <v>0.5</v>
      </c>
      <c r="G51" s="9">
        <f t="shared" si="17"/>
        <v>0.5</v>
      </c>
      <c r="H51" s="9">
        <f t="shared" si="17"/>
        <v>0.5</v>
      </c>
      <c r="I51" s="9">
        <f t="shared" si="17"/>
        <v>0.46</v>
      </c>
      <c r="J51" s="9">
        <f t="shared" si="17"/>
        <v>0.42</v>
      </c>
      <c r="K51" s="9">
        <f t="shared" si="17"/>
        <v>0.4</v>
      </c>
      <c r="L51" s="9">
        <f t="shared" si="17"/>
        <v>0.38</v>
      </c>
      <c r="M51" s="9">
        <f t="shared" si="17"/>
        <v>0.32</v>
      </c>
      <c r="N51" s="9">
        <f t="shared" si="17"/>
        <v>0.16</v>
      </c>
      <c r="O51" s="9">
        <f t="shared" si="17"/>
        <v>0.09</v>
      </c>
      <c r="P51" s="9">
        <f t="shared" si="17"/>
        <v>6.8000000000000005E-2</v>
      </c>
      <c r="Q51" s="9">
        <f t="shared" si="17"/>
        <v>5.0999999999999997E-2</v>
      </c>
      <c r="R51" s="9">
        <f t="shared" si="17"/>
        <v>4.2000000000000003E-2</v>
      </c>
      <c r="S51" s="9">
        <f t="shared" si="17"/>
        <v>3.6999999999999998E-2</v>
      </c>
      <c r="T51" s="9">
        <f t="shared" si="17"/>
        <v>0.03</v>
      </c>
      <c r="U51" s="9">
        <f t="shared" si="17"/>
        <v>2.8000000000000001E-2</v>
      </c>
      <c r="V51" s="9">
        <f t="shared" si="17"/>
        <v>2.4E-2</v>
      </c>
      <c r="W51" s="9">
        <f t="shared" si="17"/>
        <v>1.0999999999999999E-2</v>
      </c>
      <c r="X51" s="9">
        <f t="shared" si="17"/>
        <v>7.0000000000000001E-3</v>
      </c>
      <c r="Y51" s="9">
        <f t="shared" si="17"/>
        <v>5.0000000000000001E-3</v>
      </c>
      <c r="Z51" s="9">
        <f t="shared" si="17"/>
        <v>4.0000000000000001E-3</v>
      </c>
      <c r="AA51" s="9">
        <f t="shared" si="17"/>
        <v>3.3E-3</v>
      </c>
      <c r="AB51" s="9">
        <f t="shared" si="17"/>
        <v>2.8E-3</v>
      </c>
      <c r="AC51" s="9">
        <f t="shared" si="17"/>
        <v>2.5000000000000001E-3</v>
      </c>
      <c r="AD51" s="9">
        <f t="shared" si="17"/>
        <v>2E-3</v>
      </c>
      <c r="AE51" s="9">
        <f t="shared" si="17"/>
        <v>1.8E-3</v>
      </c>
    </row>
    <row r="52" spans="2:32" ht="15.75" thickBot="1" x14ac:dyDescent="0.3">
      <c r="B52" s="8" t="s">
        <v>70</v>
      </c>
      <c r="C52" s="8">
        <v>0.2</v>
      </c>
      <c r="D52" s="10">
        <v>0.1</v>
      </c>
      <c r="E52" s="10">
        <v>0.2</v>
      </c>
      <c r="F52" s="10">
        <v>0.3</v>
      </c>
      <c r="G52" s="10">
        <v>0.4</v>
      </c>
      <c r="H52" s="10">
        <v>0.5</v>
      </c>
      <c r="I52" s="10">
        <v>0.6</v>
      </c>
      <c r="J52" s="10">
        <v>0.7</v>
      </c>
      <c r="K52" s="10">
        <v>0.8</v>
      </c>
      <c r="L52" s="10">
        <v>0.9</v>
      </c>
      <c r="M52" s="10">
        <v>1</v>
      </c>
      <c r="N52" s="10">
        <v>2</v>
      </c>
      <c r="O52" s="10">
        <v>3</v>
      </c>
      <c r="P52" s="10">
        <v>4</v>
      </c>
      <c r="Q52" s="10">
        <v>5</v>
      </c>
      <c r="R52" s="10">
        <v>6</v>
      </c>
      <c r="S52" s="10">
        <v>7</v>
      </c>
      <c r="T52" s="10">
        <v>8</v>
      </c>
      <c r="U52" s="10">
        <v>9</v>
      </c>
      <c r="V52" s="10">
        <v>10</v>
      </c>
      <c r="W52" s="10">
        <v>20</v>
      </c>
      <c r="X52" s="10">
        <v>30</v>
      </c>
      <c r="Y52" s="10">
        <v>40</v>
      </c>
      <c r="Z52" s="10">
        <v>50</v>
      </c>
      <c r="AA52" s="10">
        <v>60</v>
      </c>
      <c r="AB52" s="10">
        <v>70</v>
      </c>
      <c r="AC52" s="10">
        <v>80</v>
      </c>
      <c r="AD52" s="10">
        <v>90</v>
      </c>
      <c r="AE52" s="11">
        <v>100</v>
      </c>
    </row>
    <row r="53" spans="2:32" x14ac:dyDescent="0.25">
      <c r="B53" s="8" t="s">
        <v>57</v>
      </c>
      <c r="C53" s="8">
        <f>AF53</f>
        <v>2</v>
      </c>
      <c r="D53" t="b">
        <f>IF(D51&lt;=$C$52,D52,FALSE)</f>
        <v>0</v>
      </c>
      <c r="E53" t="b">
        <f t="shared" ref="E53:AE53" si="18">IF(E51&lt;=$C$52,E52,FALSE)</f>
        <v>0</v>
      </c>
      <c r="F53" t="b">
        <f t="shared" si="18"/>
        <v>0</v>
      </c>
      <c r="G53" t="b">
        <f t="shared" si="18"/>
        <v>0</v>
      </c>
      <c r="H53" t="b">
        <f t="shared" si="18"/>
        <v>0</v>
      </c>
      <c r="I53" t="b">
        <f t="shared" si="18"/>
        <v>0</v>
      </c>
      <c r="J53" t="b">
        <f t="shared" si="18"/>
        <v>0</v>
      </c>
      <c r="K53" t="b">
        <f t="shared" si="18"/>
        <v>0</v>
      </c>
      <c r="L53" t="b">
        <f t="shared" si="18"/>
        <v>0</v>
      </c>
      <c r="M53" t="b">
        <f t="shared" si="18"/>
        <v>0</v>
      </c>
      <c r="N53">
        <f t="shared" si="18"/>
        <v>2</v>
      </c>
      <c r="O53">
        <f t="shared" si="18"/>
        <v>3</v>
      </c>
      <c r="P53">
        <f t="shared" si="18"/>
        <v>4</v>
      </c>
      <c r="Q53">
        <f t="shared" si="18"/>
        <v>5</v>
      </c>
      <c r="R53">
        <f t="shared" si="18"/>
        <v>6</v>
      </c>
      <c r="S53">
        <f t="shared" si="18"/>
        <v>7</v>
      </c>
      <c r="T53">
        <f t="shared" si="18"/>
        <v>8</v>
      </c>
      <c r="U53">
        <f t="shared" si="18"/>
        <v>9</v>
      </c>
      <c r="V53">
        <f t="shared" si="18"/>
        <v>10</v>
      </c>
      <c r="W53">
        <f t="shared" si="18"/>
        <v>20</v>
      </c>
      <c r="X53">
        <f t="shared" si="18"/>
        <v>30</v>
      </c>
      <c r="Y53">
        <f t="shared" si="18"/>
        <v>40</v>
      </c>
      <c r="Z53">
        <f t="shared" si="18"/>
        <v>50</v>
      </c>
      <c r="AA53">
        <f t="shared" si="18"/>
        <v>60</v>
      </c>
      <c r="AB53">
        <f t="shared" si="18"/>
        <v>70</v>
      </c>
      <c r="AC53">
        <f t="shared" si="18"/>
        <v>80</v>
      </c>
      <c r="AD53">
        <f t="shared" si="18"/>
        <v>90</v>
      </c>
      <c r="AE53">
        <f t="shared" si="18"/>
        <v>100</v>
      </c>
      <c r="AF53">
        <f>MIN(D53:AE53)</f>
        <v>2</v>
      </c>
    </row>
    <row r="54" spans="2:32" ht="15.75" thickBot="1" x14ac:dyDescent="0.3"/>
    <row r="55" spans="2:32" ht="15.75" thickBot="1" x14ac:dyDescent="0.3">
      <c r="B55" s="8" t="s">
        <v>71</v>
      </c>
      <c r="C55" s="8">
        <f>UVCE!$AE$19</f>
        <v>6</v>
      </c>
      <c r="D55" s="9">
        <f>HLOOKUP(D1,B1:AE13,$C$32+3)</f>
        <v>0.5</v>
      </c>
      <c r="E55" s="9">
        <f t="shared" ref="E55:AE55" si="19">HLOOKUP(E1,C1:AF13,$C$32+3)</f>
        <v>0.5</v>
      </c>
      <c r="F55" s="9">
        <f t="shared" si="19"/>
        <v>0.5</v>
      </c>
      <c r="G55" s="9">
        <f t="shared" si="19"/>
        <v>0.5</v>
      </c>
      <c r="H55" s="9">
        <f t="shared" si="19"/>
        <v>0.5</v>
      </c>
      <c r="I55" s="9">
        <f t="shared" si="19"/>
        <v>0.46</v>
      </c>
      <c r="J55" s="9">
        <f t="shared" si="19"/>
        <v>0.42</v>
      </c>
      <c r="K55" s="9">
        <f t="shared" si="19"/>
        <v>0.4</v>
      </c>
      <c r="L55" s="9">
        <f t="shared" si="19"/>
        <v>0.38</v>
      </c>
      <c r="M55" s="9">
        <f t="shared" si="19"/>
        <v>0.32</v>
      </c>
      <c r="N55" s="9">
        <f t="shared" si="19"/>
        <v>0.16</v>
      </c>
      <c r="O55" s="9">
        <f t="shared" si="19"/>
        <v>0.09</v>
      </c>
      <c r="P55" s="9">
        <f t="shared" si="19"/>
        <v>6.8000000000000005E-2</v>
      </c>
      <c r="Q55" s="9">
        <f t="shared" si="19"/>
        <v>5.0999999999999997E-2</v>
      </c>
      <c r="R55" s="9">
        <f t="shared" si="19"/>
        <v>4.2000000000000003E-2</v>
      </c>
      <c r="S55" s="9">
        <f t="shared" si="19"/>
        <v>3.6999999999999998E-2</v>
      </c>
      <c r="T55" s="9">
        <f t="shared" si="19"/>
        <v>0.03</v>
      </c>
      <c r="U55" s="9">
        <f t="shared" si="19"/>
        <v>2.8000000000000001E-2</v>
      </c>
      <c r="V55" s="9">
        <f t="shared" si="19"/>
        <v>2.4E-2</v>
      </c>
      <c r="W55" s="9">
        <f t="shared" si="19"/>
        <v>1.0999999999999999E-2</v>
      </c>
      <c r="X55" s="9">
        <f t="shared" si="19"/>
        <v>7.0000000000000001E-3</v>
      </c>
      <c r="Y55" s="9">
        <f t="shared" si="19"/>
        <v>5.0000000000000001E-3</v>
      </c>
      <c r="Z55" s="9">
        <f t="shared" si="19"/>
        <v>4.0000000000000001E-3</v>
      </c>
      <c r="AA55" s="9">
        <f t="shared" si="19"/>
        <v>3.3E-3</v>
      </c>
      <c r="AB55" s="9">
        <f t="shared" si="19"/>
        <v>2.8E-3</v>
      </c>
      <c r="AC55" s="9">
        <f t="shared" si="19"/>
        <v>2.5000000000000001E-3</v>
      </c>
      <c r="AD55" s="9">
        <f t="shared" si="19"/>
        <v>2E-3</v>
      </c>
      <c r="AE55" s="9">
        <f t="shared" si="19"/>
        <v>1.8E-3</v>
      </c>
    </row>
    <row r="56" spans="2:32" ht="15.75" thickBot="1" x14ac:dyDescent="0.3">
      <c r="B56" s="8" t="s">
        <v>70</v>
      </c>
      <c r="C56" s="8" t="e">
        <f>AF57</f>
        <v>#VALUE!</v>
      </c>
      <c r="D56" s="10">
        <v>0.1</v>
      </c>
      <c r="E56" s="10">
        <v>0.2</v>
      </c>
      <c r="F56" s="10">
        <v>0.3</v>
      </c>
      <c r="G56" s="10">
        <v>0.4</v>
      </c>
      <c r="H56" s="10">
        <v>0.5</v>
      </c>
      <c r="I56" s="10">
        <v>0.6</v>
      </c>
      <c r="J56" s="10">
        <v>0.7</v>
      </c>
      <c r="K56" s="10">
        <v>0.8</v>
      </c>
      <c r="L56" s="10">
        <v>0.9</v>
      </c>
      <c r="M56" s="10">
        <v>1</v>
      </c>
      <c r="N56" s="10">
        <v>2</v>
      </c>
      <c r="O56" s="10">
        <v>3</v>
      </c>
      <c r="P56" s="10">
        <v>4</v>
      </c>
      <c r="Q56" s="10">
        <v>5</v>
      </c>
      <c r="R56" s="10">
        <v>6</v>
      </c>
      <c r="S56" s="10">
        <v>7</v>
      </c>
      <c r="T56" s="10">
        <v>8</v>
      </c>
      <c r="U56" s="10">
        <v>9</v>
      </c>
      <c r="V56" s="10">
        <v>10</v>
      </c>
      <c r="W56" s="10">
        <v>20</v>
      </c>
      <c r="X56" s="10">
        <v>30</v>
      </c>
      <c r="Y56" s="10">
        <v>40</v>
      </c>
      <c r="Z56" s="10">
        <v>50</v>
      </c>
      <c r="AA56" s="10">
        <v>60</v>
      </c>
      <c r="AB56" s="10">
        <v>70</v>
      </c>
      <c r="AC56" s="10">
        <v>80</v>
      </c>
      <c r="AD56" s="10">
        <v>90</v>
      </c>
      <c r="AE56" s="11">
        <v>100</v>
      </c>
    </row>
    <row r="57" spans="2:32" x14ac:dyDescent="0.25">
      <c r="B57" s="8" t="s">
        <v>57</v>
      </c>
      <c r="C57" s="8" t="e">
        <f>ROUND(UVCE!AG11,1)</f>
        <v>#VALUE!</v>
      </c>
      <c r="D57" t="e">
        <f>IF(D56&lt;=$C$57,D55,FALSE)</f>
        <v>#VALUE!</v>
      </c>
      <c r="E57" t="e">
        <f t="shared" ref="E57:AE57" si="20">IF(E56&lt;=$C$57,E55,FALSE)</f>
        <v>#VALUE!</v>
      </c>
      <c r="F57" t="e">
        <f t="shared" si="20"/>
        <v>#VALUE!</v>
      </c>
      <c r="G57" t="e">
        <f t="shared" si="20"/>
        <v>#VALUE!</v>
      </c>
      <c r="H57" t="e">
        <f t="shared" si="20"/>
        <v>#VALUE!</v>
      </c>
      <c r="I57" t="e">
        <f t="shared" si="20"/>
        <v>#VALUE!</v>
      </c>
      <c r="J57" t="e">
        <f t="shared" si="20"/>
        <v>#VALUE!</v>
      </c>
      <c r="K57" t="e">
        <f t="shared" si="20"/>
        <v>#VALUE!</v>
      </c>
      <c r="L57" t="e">
        <f t="shared" si="20"/>
        <v>#VALUE!</v>
      </c>
      <c r="M57" t="e">
        <f t="shared" si="20"/>
        <v>#VALUE!</v>
      </c>
      <c r="N57" t="e">
        <f t="shared" si="20"/>
        <v>#VALUE!</v>
      </c>
      <c r="O57" t="e">
        <f t="shared" si="20"/>
        <v>#VALUE!</v>
      </c>
      <c r="P57" t="e">
        <f t="shared" si="20"/>
        <v>#VALUE!</v>
      </c>
      <c r="Q57" t="e">
        <f t="shared" si="20"/>
        <v>#VALUE!</v>
      </c>
      <c r="R57" t="e">
        <f t="shared" si="20"/>
        <v>#VALUE!</v>
      </c>
      <c r="S57" t="e">
        <f t="shared" si="20"/>
        <v>#VALUE!</v>
      </c>
      <c r="T57" t="e">
        <f t="shared" si="20"/>
        <v>#VALUE!</v>
      </c>
      <c r="U57" t="e">
        <f t="shared" si="20"/>
        <v>#VALUE!</v>
      </c>
      <c r="V57" t="e">
        <f t="shared" si="20"/>
        <v>#VALUE!</v>
      </c>
      <c r="W57" t="e">
        <f t="shared" si="20"/>
        <v>#VALUE!</v>
      </c>
      <c r="X57" t="e">
        <f t="shared" si="20"/>
        <v>#VALUE!</v>
      </c>
      <c r="Y57" t="e">
        <f t="shared" si="20"/>
        <v>#VALUE!</v>
      </c>
      <c r="Z57" t="e">
        <f t="shared" si="20"/>
        <v>#VALUE!</v>
      </c>
      <c r="AA57" t="e">
        <f t="shared" si="20"/>
        <v>#VALUE!</v>
      </c>
      <c r="AB57" t="e">
        <f t="shared" si="20"/>
        <v>#VALUE!</v>
      </c>
      <c r="AC57" t="e">
        <f t="shared" si="20"/>
        <v>#VALUE!</v>
      </c>
      <c r="AD57" t="e">
        <f t="shared" si="20"/>
        <v>#VALUE!</v>
      </c>
      <c r="AE57" t="e">
        <f t="shared" si="20"/>
        <v>#VALUE!</v>
      </c>
      <c r="AF57" t="e">
        <f>MIN(D57:AE57)</f>
        <v>#VALUE!</v>
      </c>
    </row>
  </sheetData>
  <pageMargins left="0.7" right="0.7" top="0.75" bottom="0.75" header="0.3" footer="0.3"/>
  <pageSetup paperSize="9" scale="57" orientation="landscape" r:id="rId1"/>
  <rowBreaks count="1" manualBreakCount="1">
    <brk id="58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D31"/>
  <sheetViews>
    <sheetView topLeftCell="E1" zoomScale="70" zoomScaleNormal="70" workbookViewId="0">
      <selection activeCell="I39" sqref="I39"/>
    </sheetView>
  </sheetViews>
  <sheetFormatPr baseColWidth="10" defaultRowHeight="15" x14ac:dyDescent="0.25"/>
  <cols>
    <col min="8" max="9" width="12" bestFit="1" customWidth="1"/>
    <col min="15" max="15" width="12" bestFit="1" customWidth="1"/>
  </cols>
  <sheetData>
    <row r="3" spans="2:30" x14ac:dyDescent="0.25">
      <c r="B3" s="6"/>
      <c r="C3" s="52">
        <v>0.1</v>
      </c>
      <c r="D3" s="52">
        <v>0.2</v>
      </c>
      <c r="E3" s="52">
        <v>0.3</v>
      </c>
      <c r="F3" s="52">
        <v>0.4</v>
      </c>
      <c r="G3" s="52">
        <v>0.5</v>
      </c>
      <c r="H3" s="52">
        <v>0.6</v>
      </c>
      <c r="I3" s="52">
        <v>0.7</v>
      </c>
      <c r="J3" s="52">
        <v>0.8</v>
      </c>
      <c r="K3" s="52">
        <v>0.9</v>
      </c>
      <c r="L3" s="52">
        <v>1</v>
      </c>
      <c r="M3" s="52">
        <v>2</v>
      </c>
      <c r="N3" s="52">
        <v>3</v>
      </c>
      <c r="O3" s="52">
        <v>4</v>
      </c>
      <c r="P3" s="52">
        <v>5</v>
      </c>
      <c r="Q3" s="52">
        <v>6</v>
      </c>
      <c r="R3" s="52">
        <v>7</v>
      </c>
      <c r="S3" s="52">
        <v>8</v>
      </c>
      <c r="T3" s="52">
        <v>9</v>
      </c>
      <c r="U3" s="52">
        <v>10</v>
      </c>
      <c r="V3" s="52">
        <v>20</v>
      </c>
      <c r="W3" s="52">
        <v>30</v>
      </c>
      <c r="X3" s="52">
        <v>40</v>
      </c>
      <c r="Y3" s="52">
        <v>50</v>
      </c>
      <c r="Z3" s="52">
        <v>60</v>
      </c>
      <c r="AA3" s="52">
        <v>70</v>
      </c>
      <c r="AB3" s="52">
        <v>80</v>
      </c>
      <c r="AC3" s="52">
        <v>90</v>
      </c>
      <c r="AD3" s="52">
        <v>100</v>
      </c>
    </row>
    <row r="4" spans="2:30" x14ac:dyDescent="0.25">
      <c r="B4" s="49">
        <v>1</v>
      </c>
      <c r="C4" s="55">
        <v>0.01</v>
      </c>
      <c r="D4" s="55">
        <v>0.01</v>
      </c>
      <c r="E4" s="55">
        <v>0.01</v>
      </c>
      <c r="F4" s="55">
        <v>0.01</v>
      </c>
      <c r="G4" s="55">
        <v>0.01</v>
      </c>
      <c r="H4" s="54">
        <v>0.01</v>
      </c>
      <c r="I4" s="54">
        <v>8.9999999999999993E-3</v>
      </c>
      <c r="J4" s="54">
        <v>8.5000000000000006E-3</v>
      </c>
      <c r="K4" s="54">
        <v>7.0000000000000001E-3</v>
      </c>
      <c r="L4" s="54">
        <v>6.4999999999999997E-3</v>
      </c>
      <c r="M4" s="54">
        <v>3.3E-3</v>
      </c>
      <c r="N4" s="54">
        <v>2.3E-3</v>
      </c>
      <c r="O4" s="54">
        <v>1.8E-3</v>
      </c>
      <c r="P4" s="54">
        <v>1.5E-3</v>
      </c>
      <c r="Q4" s="54">
        <v>1.1999999999999999E-3</v>
      </c>
      <c r="R4" s="54">
        <v>1E-3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</row>
    <row r="5" spans="2:30" x14ac:dyDescent="0.25">
      <c r="B5" s="49">
        <v>2</v>
      </c>
      <c r="C5" s="55">
        <v>0.02</v>
      </c>
      <c r="D5" s="55">
        <v>0.02</v>
      </c>
      <c r="E5" s="55">
        <v>0.02</v>
      </c>
      <c r="F5" s="55">
        <v>0.02</v>
      </c>
      <c r="G5" s="55">
        <v>0.02</v>
      </c>
      <c r="H5" s="54">
        <v>0.02</v>
      </c>
      <c r="I5" s="54">
        <v>1.9E-2</v>
      </c>
      <c r="J5" s="54">
        <v>1.7999999999999999E-2</v>
      </c>
      <c r="K5" s="54">
        <v>1.7000000000000001E-2</v>
      </c>
      <c r="L5" s="54">
        <v>1.4999999999999999E-2</v>
      </c>
      <c r="M5" s="54">
        <v>7.0000000000000001E-3</v>
      </c>
      <c r="N5" s="54">
        <v>4.5999999999999999E-3</v>
      </c>
      <c r="O5" s="54">
        <v>3.5000000000000001E-3</v>
      </c>
      <c r="P5" s="54">
        <v>2.8E-3</v>
      </c>
      <c r="Q5" s="54">
        <v>2.3E-3</v>
      </c>
      <c r="R5" s="54">
        <v>2E-3</v>
      </c>
      <c r="S5" s="54">
        <v>1.8E-3</v>
      </c>
      <c r="T5" s="54">
        <v>1.6999999999999999E-3</v>
      </c>
      <c r="U5" s="54">
        <v>1.5E-3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</row>
    <row r="6" spans="2:30" x14ac:dyDescent="0.25">
      <c r="B6" s="49">
        <v>3</v>
      </c>
      <c r="C6" s="55">
        <v>0.05</v>
      </c>
      <c r="D6" s="55">
        <v>0.05</v>
      </c>
      <c r="E6" s="55">
        <v>0.05</v>
      </c>
      <c r="F6" s="55">
        <v>0.05</v>
      </c>
      <c r="G6" s="55">
        <v>0.05</v>
      </c>
      <c r="H6" s="54">
        <v>0.05</v>
      </c>
      <c r="I6" s="54">
        <v>4.4999999999999998E-2</v>
      </c>
      <c r="J6" s="54">
        <v>0.04</v>
      </c>
      <c r="K6" s="54">
        <v>3.5000000000000003E-2</v>
      </c>
      <c r="L6" s="54">
        <v>3.2000000000000001E-2</v>
      </c>
      <c r="M6" s="54">
        <v>1.7999999999999999E-2</v>
      </c>
      <c r="N6" s="54">
        <v>1.0999999999999999E-2</v>
      </c>
      <c r="O6" s="54">
        <v>8.0000000000000002E-3</v>
      </c>
      <c r="P6" s="54">
        <v>6.4999999999999997E-3</v>
      </c>
      <c r="Q6" s="54">
        <v>5.4999999999999997E-3</v>
      </c>
      <c r="R6" s="54">
        <v>4.7999999999999996E-3</v>
      </c>
      <c r="S6" s="54">
        <v>4.0000000000000001E-3</v>
      </c>
      <c r="T6" s="54">
        <v>3.8E-3</v>
      </c>
      <c r="U6" s="54">
        <v>3.2000000000000002E-3</v>
      </c>
      <c r="V6" s="54">
        <v>1.8E-3</v>
      </c>
      <c r="W6" s="54">
        <v>1.1000000000000001E-3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</row>
    <row r="7" spans="2:30" x14ac:dyDescent="0.25">
      <c r="B7" s="49">
        <v>4</v>
      </c>
      <c r="C7" s="55">
        <v>0.1</v>
      </c>
      <c r="D7" s="55">
        <v>0.1</v>
      </c>
      <c r="E7" s="55">
        <v>0.1</v>
      </c>
      <c r="F7" s="55">
        <v>0.1</v>
      </c>
      <c r="G7" s="55">
        <v>0.1</v>
      </c>
      <c r="H7" s="54">
        <v>9.5000000000000001E-2</v>
      </c>
      <c r="I7" s="54">
        <v>0.09</v>
      </c>
      <c r="J7" s="54">
        <v>0.08</v>
      </c>
      <c r="K7" s="54">
        <v>7.4999999999999997E-2</v>
      </c>
      <c r="L7" s="54">
        <v>6.8000000000000005E-2</v>
      </c>
      <c r="M7" s="54">
        <v>3.3000000000000002E-2</v>
      </c>
      <c r="N7" s="54">
        <v>2.3E-2</v>
      </c>
      <c r="O7" s="54">
        <v>1.7999999999999999E-2</v>
      </c>
      <c r="P7" s="54">
        <v>1.4999999999999999E-2</v>
      </c>
      <c r="Q7" s="54">
        <v>1.0999999999999999E-2</v>
      </c>
      <c r="R7" s="54">
        <v>9.4999999999999998E-3</v>
      </c>
      <c r="S7" s="54">
        <v>8.5000000000000006E-3</v>
      </c>
      <c r="T7" s="54">
        <v>7.4999999999999997E-3</v>
      </c>
      <c r="U7" s="54">
        <v>6.4999999999999997E-3</v>
      </c>
      <c r="V7" s="54">
        <v>3.2000000000000002E-3</v>
      </c>
      <c r="W7" s="54">
        <v>2.3E-3</v>
      </c>
      <c r="X7" s="54">
        <v>1.8E-3</v>
      </c>
      <c r="Y7" s="54">
        <v>1.4E-3</v>
      </c>
      <c r="Z7" s="54">
        <v>1.1999999999999999E-3</v>
      </c>
      <c r="AA7" s="54">
        <v>1E-3</v>
      </c>
      <c r="AB7" s="54">
        <v>0</v>
      </c>
      <c r="AC7" s="54">
        <v>0</v>
      </c>
      <c r="AD7" s="54">
        <v>0</v>
      </c>
    </row>
    <row r="8" spans="2:30" x14ac:dyDescent="0.25">
      <c r="B8" s="49">
        <v>5</v>
      </c>
      <c r="C8" s="55">
        <v>0.2</v>
      </c>
      <c r="D8" s="55">
        <v>0.2</v>
      </c>
      <c r="E8" s="55">
        <v>0.2</v>
      </c>
      <c r="F8" s="55">
        <v>0.2</v>
      </c>
      <c r="G8" s="55">
        <v>0.2</v>
      </c>
      <c r="H8" s="54">
        <v>0.19</v>
      </c>
      <c r="I8" s="54">
        <v>0.18</v>
      </c>
      <c r="J8" s="54">
        <v>0.17</v>
      </c>
      <c r="K8" s="54">
        <v>0.14000000000000001</v>
      </c>
      <c r="L8" s="54">
        <v>0.12</v>
      </c>
      <c r="M8" s="54">
        <v>0.06</v>
      </c>
      <c r="N8" s="54">
        <v>0.04</v>
      </c>
      <c r="O8" s="54">
        <v>0.03</v>
      </c>
      <c r="P8" s="54">
        <v>2.5000000000000001E-2</v>
      </c>
      <c r="Q8" s="54">
        <v>0.02</v>
      </c>
      <c r="R8" s="54">
        <v>1.7999999999999999E-2</v>
      </c>
      <c r="S8" s="54">
        <v>1.6E-2</v>
      </c>
      <c r="T8" s="54">
        <v>1.4E-2</v>
      </c>
      <c r="U8" s="54">
        <v>1.2E-2</v>
      </c>
      <c r="V8" s="54">
        <v>6.0000000000000001E-3</v>
      </c>
      <c r="W8" s="54">
        <v>4.0000000000000001E-3</v>
      </c>
      <c r="X8" s="54">
        <v>3.0000000000000001E-3</v>
      </c>
      <c r="Y8" s="54">
        <v>2.5000000000000001E-3</v>
      </c>
      <c r="Z8" s="54">
        <v>2E-3</v>
      </c>
      <c r="AA8" s="54">
        <v>1.8E-3</v>
      </c>
      <c r="AB8" s="54">
        <v>1.6000000000000001E-3</v>
      </c>
      <c r="AC8" s="54">
        <v>1.4E-3</v>
      </c>
      <c r="AD8" s="54">
        <v>1.1999999999999999E-3</v>
      </c>
    </row>
    <row r="9" spans="2:30" x14ac:dyDescent="0.25">
      <c r="B9" s="49">
        <v>6</v>
      </c>
      <c r="C9" s="55">
        <v>0.5</v>
      </c>
      <c r="D9" s="55">
        <v>0.5</v>
      </c>
      <c r="E9" s="55">
        <v>0.5</v>
      </c>
      <c r="F9" s="55">
        <v>0.5</v>
      </c>
      <c r="G9" s="55">
        <v>0.5</v>
      </c>
      <c r="H9" s="54">
        <v>0.46</v>
      </c>
      <c r="I9" s="54">
        <v>0.42</v>
      </c>
      <c r="J9" s="54">
        <v>0.4</v>
      </c>
      <c r="K9" s="54">
        <v>0.38</v>
      </c>
      <c r="L9" s="54">
        <v>0.32</v>
      </c>
      <c r="M9" s="54">
        <v>0.16</v>
      </c>
      <c r="N9" s="54">
        <v>0.09</v>
      </c>
      <c r="O9" s="54">
        <v>6.8000000000000005E-2</v>
      </c>
      <c r="P9" s="54">
        <v>5.0999999999999997E-2</v>
      </c>
      <c r="Q9" s="54">
        <v>4.2000000000000003E-2</v>
      </c>
      <c r="R9" s="54">
        <v>3.6999999999999998E-2</v>
      </c>
      <c r="S9" s="54">
        <v>0.03</v>
      </c>
      <c r="T9" s="54">
        <v>2.8000000000000001E-2</v>
      </c>
      <c r="U9" s="54">
        <v>2.4E-2</v>
      </c>
      <c r="V9" s="54">
        <v>1.0999999999999999E-2</v>
      </c>
      <c r="W9" s="54">
        <v>7.0000000000000001E-3</v>
      </c>
      <c r="X9" s="54">
        <v>5.0000000000000001E-3</v>
      </c>
      <c r="Y9" s="54">
        <v>4.0000000000000001E-3</v>
      </c>
      <c r="Z9" s="54">
        <v>3.3E-3</v>
      </c>
      <c r="AA9" s="54">
        <v>2.8E-3</v>
      </c>
      <c r="AB9" s="54">
        <v>2.5000000000000001E-3</v>
      </c>
      <c r="AC9" s="54">
        <v>2E-3</v>
      </c>
      <c r="AD9" s="54">
        <v>1.8E-3</v>
      </c>
    </row>
    <row r="10" spans="2:30" x14ac:dyDescent="0.25">
      <c r="B10" s="49">
        <v>7</v>
      </c>
      <c r="C10" s="50">
        <v>1</v>
      </c>
      <c r="D10" s="50">
        <v>1</v>
      </c>
      <c r="E10" s="50">
        <v>1</v>
      </c>
      <c r="F10" s="50">
        <v>1</v>
      </c>
      <c r="G10" s="53">
        <v>0.92</v>
      </c>
      <c r="H10" s="53">
        <v>0.82</v>
      </c>
      <c r="I10" s="53">
        <v>0.75</v>
      </c>
      <c r="J10" s="53">
        <v>0.6</v>
      </c>
      <c r="K10" s="53">
        <v>0.5</v>
      </c>
      <c r="L10" s="53">
        <v>0.45</v>
      </c>
      <c r="M10" s="58">
        <v>0.17</v>
      </c>
      <c r="N10" s="58">
        <v>0.09</v>
      </c>
      <c r="O10" s="58">
        <v>6.8000000000000005E-2</v>
      </c>
      <c r="P10" s="58">
        <v>5.0999999999999997E-2</v>
      </c>
      <c r="Q10" s="58">
        <v>4.2000000000000003E-2</v>
      </c>
      <c r="R10" s="58">
        <v>3.6999999999999998E-2</v>
      </c>
      <c r="S10" s="58">
        <v>0.03</v>
      </c>
      <c r="T10" s="58">
        <v>2.8000000000000001E-2</v>
      </c>
      <c r="U10" s="58">
        <v>2.4E-2</v>
      </c>
      <c r="V10" s="58">
        <v>1.0999999999999999E-2</v>
      </c>
      <c r="W10" s="58">
        <v>7.0000000000000001E-3</v>
      </c>
      <c r="X10" s="58">
        <v>5.0000000000000001E-3</v>
      </c>
      <c r="Y10" s="58">
        <v>4.0000000000000001E-3</v>
      </c>
      <c r="Z10" s="58">
        <v>3.3E-3</v>
      </c>
      <c r="AA10" s="58">
        <v>2.8E-3</v>
      </c>
      <c r="AB10" s="58">
        <v>2.5000000000000001E-3</v>
      </c>
      <c r="AC10" s="58">
        <v>2E-3</v>
      </c>
      <c r="AD10" s="58">
        <v>1.8E-3</v>
      </c>
    </row>
    <row r="11" spans="2:30" x14ac:dyDescent="0.25">
      <c r="B11" s="49">
        <v>8</v>
      </c>
      <c r="C11" s="50">
        <v>2</v>
      </c>
      <c r="D11" s="50">
        <v>2</v>
      </c>
      <c r="E11" s="50">
        <v>2</v>
      </c>
      <c r="F11" s="50">
        <v>2</v>
      </c>
      <c r="G11" s="53">
        <v>1.8</v>
      </c>
      <c r="H11" s="53">
        <v>1.4</v>
      </c>
      <c r="I11" s="53">
        <v>1</v>
      </c>
      <c r="J11" s="53">
        <v>0.8</v>
      </c>
      <c r="K11" s="53">
        <v>0.6</v>
      </c>
      <c r="L11" s="53">
        <v>0.5</v>
      </c>
      <c r="M11" s="58">
        <v>0.17</v>
      </c>
      <c r="N11" s="58">
        <v>0.09</v>
      </c>
      <c r="O11" s="58">
        <v>6.8000000000000005E-2</v>
      </c>
      <c r="P11" s="58">
        <v>5.0999999999999997E-2</v>
      </c>
      <c r="Q11" s="58">
        <v>4.2000000000000003E-2</v>
      </c>
      <c r="R11" s="58">
        <v>3.6999999999999998E-2</v>
      </c>
      <c r="S11" s="58">
        <v>0.03</v>
      </c>
      <c r="T11" s="58">
        <v>2.8000000000000001E-2</v>
      </c>
      <c r="U11" s="58">
        <v>2.4E-2</v>
      </c>
      <c r="V11" s="58">
        <v>1.0999999999999999E-2</v>
      </c>
      <c r="W11" s="58">
        <v>7.0000000000000001E-3</v>
      </c>
      <c r="X11" s="58">
        <v>5.0000000000000001E-3</v>
      </c>
      <c r="Y11" s="58">
        <v>4.0000000000000001E-3</v>
      </c>
      <c r="Z11" s="58">
        <v>3.3E-3</v>
      </c>
      <c r="AA11" s="58">
        <v>2.8E-3</v>
      </c>
      <c r="AB11" s="58">
        <v>2.5000000000000001E-3</v>
      </c>
      <c r="AC11" s="58">
        <v>2E-3</v>
      </c>
      <c r="AD11" s="58">
        <v>1.8E-3</v>
      </c>
    </row>
    <row r="12" spans="2:30" x14ac:dyDescent="0.25">
      <c r="B12" s="49">
        <v>9</v>
      </c>
      <c r="C12" s="50">
        <v>5</v>
      </c>
      <c r="D12" s="50">
        <v>5</v>
      </c>
      <c r="E12" s="50">
        <v>5</v>
      </c>
      <c r="F12" s="53">
        <v>3.9</v>
      </c>
      <c r="G12" s="53">
        <v>2</v>
      </c>
      <c r="H12" s="53">
        <v>1.4</v>
      </c>
      <c r="I12" s="53">
        <v>1</v>
      </c>
      <c r="J12" s="53">
        <v>0.8</v>
      </c>
      <c r="K12" s="53">
        <v>0.6</v>
      </c>
      <c r="L12" s="53">
        <v>0.5</v>
      </c>
      <c r="M12" s="58">
        <v>0.17</v>
      </c>
      <c r="N12" s="58">
        <v>0.09</v>
      </c>
      <c r="O12" s="58">
        <v>6.8000000000000005E-2</v>
      </c>
      <c r="P12" s="58">
        <v>5.0999999999999997E-2</v>
      </c>
      <c r="Q12" s="58">
        <v>4.2000000000000003E-2</v>
      </c>
      <c r="R12" s="58">
        <v>3.6999999999999998E-2</v>
      </c>
      <c r="S12" s="58">
        <v>0.03</v>
      </c>
      <c r="T12" s="58">
        <v>2.8000000000000001E-2</v>
      </c>
      <c r="U12" s="58">
        <v>2.4E-2</v>
      </c>
      <c r="V12" s="58">
        <v>1.0999999999999999E-2</v>
      </c>
      <c r="W12" s="58">
        <v>7.0000000000000001E-3</v>
      </c>
      <c r="X12" s="58">
        <v>5.0000000000000001E-3</v>
      </c>
      <c r="Y12" s="58">
        <v>4.0000000000000001E-3</v>
      </c>
      <c r="Z12" s="58">
        <v>3.3E-3</v>
      </c>
      <c r="AA12" s="58">
        <v>2.8E-3</v>
      </c>
      <c r="AB12" s="58">
        <v>2.5000000000000001E-3</v>
      </c>
      <c r="AC12" s="58">
        <v>2E-3</v>
      </c>
      <c r="AD12" s="58">
        <v>1.8E-3</v>
      </c>
    </row>
    <row r="13" spans="2:30" x14ac:dyDescent="0.25">
      <c r="B13" s="49">
        <v>10</v>
      </c>
      <c r="C13" s="50">
        <v>10</v>
      </c>
      <c r="D13" s="50">
        <v>10</v>
      </c>
      <c r="E13" s="53">
        <v>8</v>
      </c>
      <c r="F13" s="53">
        <v>3.9</v>
      </c>
      <c r="G13" s="53">
        <v>2</v>
      </c>
      <c r="H13" s="53">
        <v>1.4</v>
      </c>
      <c r="I13" s="53">
        <v>1</v>
      </c>
      <c r="J13" s="53">
        <v>0.8</v>
      </c>
      <c r="K13" s="53">
        <v>0.6</v>
      </c>
      <c r="L13" s="53">
        <v>0.5</v>
      </c>
      <c r="M13" s="58">
        <v>0.17</v>
      </c>
      <c r="N13" s="58">
        <v>0.09</v>
      </c>
      <c r="O13" s="58">
        <v>6.8000000000000005E-2</v>
      </c>
      <c r="P13" s="58">
        <v>5.0999999999999997E-2</v>
      </c>
      <c r="Q13" s="58">
        <v>4.2000000000000003E-2</v>
      </c>
      <c r="R13" s="58">
        <v>3.6999999999999998E-2</v>
      </c>
      <c r="S13" s="58">
        <v>0.03</v>
      </c>
      <c r="T13" s="58">
        <v>2.8000000000000001E-2</v>
      </c>
      <c r="U13" s="58">
        <v>2.4E-2</v>
      </c>
      <c r="V13" s="58">
        <v>1.0999999999999999E-2</v>
      </c>
      <c r="W13" s="58">
        <v>7.0000000000000001E-3</v>
      </c>
      <c r="X13" s="58">
        <v>5.0000000000000001E-3</v>
      </c>
      <c r="Y13" s="58">
        <v>4.0000000000000001E-3</v>
      </c>
      <c r="Z13" s="58">
        <v>3.3E-3</v>
      </c>
      <c r="AA13" s="58">
        <v>2.8E-3</v>
      </c>
      <c r="AB13" s="58">
        <v>2.5000000000000001E-3</v>
      </c>
      <c r="AC13" s="58">
        <v>2E-3</v>
      </c>
      <c r="AD13" s="58">
        <v>1.8E-3</v>
      </c>
    </row>
    <row r="17" spans="1:30" x14ac:dyDescent="0.25">
      <c r="A17" s="51"/>
      <c r="B17" s="51"/>
      <c r="C17" s="52">
        <v>0.1</v>
      </c>
      <c r="D17" s="52">
        <v>0.2</v>
      </c>
      <c r="E17" s="52">
        <v>0.3</v>
      </c>
      <c r="F17" s="52">
        <v>0.4</v>
      </c>
      <c r="G17" s="52">
        <v>0.5</v>
      </c>
      <c r="H17" s="52">
        <v>0.6</v>
      </c>
      <c r="I17" s="52">
        <v>0.7</v>
      </c>
      <c r="J17" s="52">
        <v>0.8</v>
      </c>
      <c r="K17" s="52">
        <v>0.9</v>
      </c>
      <c r="L17" s="52">
        <v>1</v>
      </c>
      <c r="M17" s="52">
        <v>2</v>
      </c>
      <c r="N17" s="52">
        <v>3</v>
      </c>
      <c r="O17" s="52">
        <v>4</v>
      </c>
      <c r="P17" s="52">
        <v>5</v>
      </c>
      <c r="Q17" s="52">
        <v>6</v>
      </c>
      <c r="R17" s="52">
        <v>7</v>
      </c>
      <c r="S17" s="52">
        <v>8</v>
      </c>
      <c r="T17" s="52">
        <v>9</v>
      </c>
      <c r="U17" s="52">
        <v>10</v>
      </c>
      <c r="V17" s="52">
        <v>20</v>
      </c>
      <c r="W17" s="52">
        <v>30</v>
      </c>
      <c r="X17" s="52">
        <v>40</v>
      </c>
      <c r="Y17" s="52">
        <v>50</v>
      </c>
      <c r="Z17" s="52">
        <v>60</v>
      </c>
      <c r="AA17" s="52">
        <v>70</v>
      </c>
      <c r="AB17" s="52">
        <v>80</v>
      </c>
      <c r="AC17" s="52">
        <v>90</v>
      </c>
      <c r="AD17" s="52">
        <v>100</v>
      </c>
    </row>
    <row r="18" spans="1:30" s="56" customFormat="1" x14ac:dyDescent="0.25">
      <c r="A18" s="59">
        <v>0.01</v>
      </c>
      <c r="B18" s="59">
        <v>1</v>
      </c>
      <c r="C18" s="55">
        <f>$A$18</f>
        <v>0.01</v>
      </c>
      <c r="D18" s="55">
        <f>$A$18</f>
        <v>0.01</v>
      </c>
      <c r="E18" s="55">
        <f>$A$18</f>
        <v>0.01</v>
      </c>
      <c r="F18" s="55">
        <f>$A$18</f>
        <v>0.01</v>
      </c>
      <c r="G18" s="55">
        <f>$A$18</f>
        <v>0.01</v>
      </c>
      <c r="H18" s="54">
        <f t="shared" ref="H18:R18" si="0">POWER(10,LOG($A$18)-((LOG(H17)-LOG(0.6))))</f>
        <v>0.01</v>
      </c>
      <c r="I18" s="54">
        <f t="shared" si="0"/>
        <v>8.5714285714285701E-3</v>
      </c>
      <c r="J18" s="54">
        <f t="shared" si="0"/>
        <v>7.499999999999998E-3</v>
      </c>
      <c r="K18" s="54">
        <f t="shared" si="0"/>
        <v>6.6666666666666628E-3</v>
      </c>
      <c r="L18" s="54">
        <f t="shared" si="0"/>
        <v>5.9999999999999932E-3</v>
      </c>
      <c r="M18" s="54">
        <f t="shared" si="0"/>
        <v>2.9999999999999992E-3</v>
      </c>
      <c r="N18" s="54">
        <f t="shared" si="0"/>
        <v>1.9999999999999987E-3</v>
      </c>
      <c r="O18" s="54">
        <f t="shared" si="0"/>
        <v>1.4999999999999994E-3</v>
      </c>
      <c r="P18" s="54">
        <f t="shared" si="0"/>
        <v>1.1999999999999984E-3</v>
      </c>
      <c r="Q18" s="54">
        <f t="shared" si="0"/>
        <v>1E-3</v>
      </c>
      <c r="R18" s="60">
        <f t="shared" si="0"/>
        <v>8.5714285714285677E-4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</row>
    <row r="19" spans="1:30" s="56" customFormat="1" x14ac:dyDescent="0.25">
      <c r="A19" s="59">
        <v>0.02</v>
      </c>
      <c r="B19" s="59">
        <v>2</v>
      </c>
      <c r="C19" s="55">
        <v>0.02</v>
      </c>
      <c r="D19" s="55">
        <v>0.02</v>
      </c>
      <c r="E19" s="55">
        <v>0.02</v>
      </c>
      <c r="F19" s="55">
        <v>0.02</v>
      </c>
      <c r="G19" s="55">
        <v>0.02</v>
      </c>
      <c r="H19" s="54">
        <f>POWER(10,LOG($A$19)-((LOG(H17)-LOG(0.6))))</f>
        <v>1.9999999999999993E-2</v>
      </c>
      <c r="I19" s="54">
        <f t="shared" ref="I19:AD19" si="1">POWER(10,LOG($A$19)-((LOG(I17)-LOG(0.6))))</f>
        <v>1.7142857142857144E-2</v>
      </c>
      <c r="J19" s="54">
        <f t="shared" si="1"/>
        <v>1.4999999999999996E-2</v>
      </c>
      <c r="K19" s="54">
        <f t="shared" si="1"/>
        <v>1.3333333333333326E-2</v>
      </c>
      <c r="L19" s="54">
        <f>POWER(10,LOG($A$19)-((LOG(L17)-LOG(0.6))))</f>
        <v>1.1999999999999999E-2</v>
      </c>
      <c r="M19" s="54">
        <f t="shared" si="1"/>
        <v>5.9999999999999984E-3</v>
      </c>
      <c r="N19" s="54">
        <f t="shared" si="1"/>
        <v>3.9999999999999983E-3</v>
      </c>
      <c r="O19" s="54">
        <f t="shared" si="1"/>
        <v>2.9999999999999992E-3</v>
      </c>
      <c r="P19" s="54">
        <f t="shared" si="1"/>
        <v>2.3999999999999972E-3</v>
      </c>
      <c r="Q19" s="54">
        <f t="shared" si="1"/>
        <v>1.9999999999999987E-3</v>
      </c>
      <c r="R19" s="54">
        <f t="shared" si="1"/>
        <v>1.7142857142857138E-3</v>
      </c>
      <c r="S19" s="54">
        <f t="shared" si="1"/>
        <v>1.4999999999999994E-3</v>
      </c>
      <c r="T19" s="54">
        <f t="shared" si="1"/>
        <v>1.3333333333333324E-3</v>
      </c>
      <c r="U19" s="54">
        <f>POWER(10,LOG($A$19)-((LOG(U17)-LOG(0.6))))</f>
        <v>1.1999999999999997E-3</v>
      </c>
      <c r="V19" s="54">
        <f t="shared" si="1"/>
        <v>5.9999999999999973E-4</v>
      </c>
      <c r="W19" s="54">
        <f t="shared" si="1"/>
        <v>3.9999999999999969E-4</v>
      </c>
      <c r="X19" s="54">
        <f t="shared" si="1"/>
        <v>3.0000000000000008E-4</v>
      </c>
      <c r="Y19" s="54">
        <f t="shared" si="1"/>
        <v>2.3999999999999987E-4</v>
      </c>
      <c r="Z19" s="54">
        <f t="shared" si="1"/>
        <v>1.9999999999999985E-4</v>
      </c>
      <c r="AA19" s="54">
        <f t="shared" si="1"/>
        <v>1.7142857142857121E-4</v>
      </c>
      <c r="AB19" s="54">
        <f t="shared" si="1"/>
        <v>1.5000000000000004E-4</v>
      </c>
      <c r="AC19" s="54">
        <f t="shared" si="1"/>
        <v>1.3333333333333331E-4</v>
      </c>
      <c r="AD19" s="54">
        <f t="shared" si="1"/>
        <v>1.1999999999999994E-4</v>
      </c>
    </row>
    <row r="20" spans="1:30" s="56" customFormat="1" x14ac:dyDescent="0.25">
      <c r="A20" s="59">
        <v>0.05</v>
      </c>
      <c r="B20" s="59">
        <v>3</v>
      </c>
      <c r="C20" s="55">
        <v>0.05</v>
      </c>
      <c r="D20" s="55">
        <v>0.05</v>
      </c>
      <c r="E20" s="55">
        <v>0.05</v>
      </c>
      <c r="F20" s="55">
        <v>0.05</v>
      </c>
      <c r="G20" s="55">
        <v>0.05</v>
      </c>
      <c r="H20" s="54">
        <f>POWER(10,LOG($A$20)-((LOG(H17)-LOG(0.6))))</f>
        <v>4.9999999999999982E-2</v>
      </c>
      <c r="I20" s="54">
        <f t="shared" ref="I20:AD20" si="2">POWER(10,LOG($A$20)-((LOG(I17)-LOG(0.6))))</f>
        <v>4.285714285714283E-2</v>
      </c>
      <c r="J20" s="54">
        <f t="shared" si="2"/>
        <v>3.7499999999999992E-2</v>
      </c>
      <c r="K20" s="54">
        <f t="shared" si="2"/>
        <v>3.3333333333333319E-2</v>
      </c>
      <c r="L20" s="54">
        <f>POWER(10,LOG($A$20)-((LOG(L17)-LOG(0.6))))</f>
        <v>2.9999999999999985E-2</v>
      </c>
      <c r="M20" s="54">
        <f t="shared" si="2"/>
        <v>1.4999999999999982E-2</v>
      </c>
      <c r="N20" s="54">
        <f t="shared" si="2"/>
        <v>0.01</v>
      </c>
      <c r="O20" s="54">
        <f t="shared" si="2"/>
        <v>7.499999999999998E-3</v>
      </c>
      <c r="P20" s="54">
        <f t="shared" si="2"/>
        <v>5.9999999999999932E-3</v>
      </c>
      <c r="Q20" s="54">
        <f t="shared" si="2"/>
        <v>4.9999999999999975E-3</v>
      </c>
      <c r="R20" s="54">
        <f t="shared" si="2"/>
        <v>4.2857142857142842E-3</v>
      </c>
      <c r="S20" s="54">
        <f t="shared" si="2"/>
        <v>3.749999999999999E-3</v>
      </c>
      <c r="T20" s="54">
        <f t="shared" si="2"/>
        <v>3.3333333333333309E-3</v>
      </c>
      <c r="U20" s="54">
        <f>POWER(10,LOG($A$20)-((LOG(U17)-LOG(0.6))))</f>
        <v>2.9999999999999992E-3</v>
      </c>
      <c r="V20" s="54">
        <f t="shared" si="2"/>
        <v>1.4999999999999994E-3</v>
      </c>
      <c r="W20" s="54">
        <f t="shared" si="2"/>
        <v>1E-3</v>
      </c>
      <c r="X20" s="54">
        <f t="shared" si="2"/>
        <v>7.4999999999999969E-4</v>
      </c>
      <c r="Y20" s="54">
        <f t="shared" si="2"/>
        <v>5.9999999999999973E-4</v>
      </c>
      <c r="Z20" s="54">
        <f t="shared" si="2"/>
        <v>4.9999999999999958E-4</v>
      </c>
      <c r="AA20" s="54">
        <f t="shared" si="2"/>
        <v>4.2857142857142795E-4</v>
      </c>
      <c r="AB20" s="54">
        <f t="shared" si="2"/>
        <v>3.7499999999999979E-4</v>
      </c>
      <c r="AC20" s="54">
        <f t="shared" si="2"/>
        <v>3.3333333333333305E-4</v>
      </c>
      <c r="AD20" s="54">
        <f t="shared" si="2"/>
        <v>2.9999999999999959E-4</v>
      </c>
    </row>
    <row r="21" spans="1:30" s="56" customFormat="1" x14ac:dyDescent="0.25">
      <c r="A21" s="59">
        <v>0.1</v>
      </c>
      <c r="B21" s="59">
        <v>4</v>
      </c>
      <c r="C21" s="55">
        <v>0.1</v>
      </c>
      <c r="D21" s="55">
        <v>0.1</v>
      </c>
      <c r="E21" s="55">
        <v>0.1</v>
      </c>
      <c r="F21" s="55">
        <v>0.1</v>
      </c>
      <c r="G21" s="55">
        <v>0.1</v>
      </c>
      <c r="H21" s="54">
        <f>POWER(10,LOG($A$21)-((LOG(H17)-LOG(0.6))))</f>
        <v>0.1</v>
      </c>
      <c r="I21" s="54">
        <f t="shared" ref="I21:AD21" si="3">POWER(10,LOG($A$21)-((LOG(I17)-LOG(0.6))))</f>
        <v>8.5714285714285673E-2</v>
      </c>
      <c r="J21" s="54">
        <f t="shared" si="3"/>
        <v>7.4999999999999997E-2</v>
      </c>
      <c r="K21" s="54">
        <f t="shared" si="3"/>
        <v>6.6666666666666638E-2</v>
      </c>
      <c r="L21" s="54">
        <f>POWER(10,LOG($A$21)-((LOG(L17)-LOG(0.6))))</f>
        <v>5.999999999999997E-2</v>
      </c>
      <c r="M21" s="54">
        <f t="shared" si="3"/>
        <v>2.9999999999999985E-2</v>
      </c>
      <c r="N21" s="54">
        <f t="shared" si="3"/>
        <v>1.9999999999999993E-2</v>
      </c>
      <c r="O21" s="54">
        <f t="shared" si="3"/>
        <v>1.4999999999999996E-2</v>
      </c>
      <c r="P21" s="54">
        <f t="shared" si="3"/>
        <v>1.1999999999999988E-2</v>
      </c>
      <c r="Q21" s="54">
        <f t="shared" si="3"/>
        <v>0.01</v>
      </c>
      <c r="R21" s="54">
        <f t="shared" si="3"/>
        <v>8.5714285714285701E-3</v>
      </c>
      <c r="S21" s="54">
        <f t="shared" si="3"/>
        <v>7.499999999999998E-3</v>
      </c>
      <c r="T21" s="54">
        <f t="shared" si="3"/>
        <v>6.6666666666666628E-3</v>
      </c>
      <c r="U21" s="54">
        <f>POWER(10,LOG($A$21)-((LOG(U17)-LOG(0.6))))</f>
        <v>5.9999999999999984E-3</v>
      </c>
      <c r="V21" s="54">
        <f t="shared" si="3"/>
        <v>2.9999999999999992E-3</v>
      </c>
      <c r="W21" s="54">
        <f t="shared" si="3"/>
        <v>1.9999999999999987E-3</v>
      </c>
      <c r="X21" s="54">
        <f t="shared" si="3"/>
        <v>1.4999999999999994E-3</v>
      </c>
      <c r="Y21" s="54">
        <f t="shared" si="3"/>
        <v>1.1999999999999997E-3</v>
      </c>
      <c r="Z21" s="54">
        <f t="shared" si="3"/>
        <v>1E-3</v>
      </c>
      <c r="AA21" s="54">
        <f t="shared" si="3"/>
        <v>8.5714285714285612E-4</v>
      </c>
      <c r="AB21" s="54">
        <f t="shared" si="3"/>
        <v>7.4999999999999969E-4</v>
      </c>
      <c r="AC21" s="54">
        <f t="shared" si="3"/>
        <v>6.666666666666661E-4</v>
      </c>
      <c r="AD21" s="54">
        <f t="shared" si="3"/>
        <v>5.9999999999999919E-4</v>
      </c>
    </row>
    <row r="22" spans="1:30" s="56" customFormat="1" x14ac:dyDescent="0.25">
      <c r="A22" s="59">
        <v>0.2</v>
      </c>
      <c r="B22" s="59">
        <v>5</v>
      </c>
      <c r="C22" s="55">
        <v>0.2</v>
      </c>
      <c r="D22" s="55">
        <v>0.2</v>
      </c>
      <c r="E22" s="55">
        <v>0.2</v>
      </c>
      <c r="F22" s="55">
        <v>0.2</v>
      </c>
      <c r="G22" s="55">
        <v>0.2</v>
      </c>
      <c r="H22" s="54">
        <f>POWER(10,LOG($A$22)-((LOG(H17)-LOG(0.6))))</f>
        <v>0.20000000000000004</v>
      </c>
      <c r="I22" s="54">
        <f t="shared" ref="I22:AD22" si="4">POWER(10,LOG($A$22)-((LOG(I17)-LOG(0.6))))</f>
        <v>0.17142857142857143</v>
      </c>
      <c r="J22" s="54">
        <f t="shared" si="4"/>
        <v>0.14999999999999997</v>
      </c>
      <c r="K22" s="54">
        <f t="shared" si="4"/>
        <v>0.13333333333333328</v>
      </c>
      <c r="L22" s="54">
        <f>POWER(10,LOG($A$22)-((LOG(L17)-LOG(0.6))))</f>
        <v>0.12000000000000002</v>
      </c>
      <c r="M22" s="54">
        <f t="shared" si="4"/>
        <v>5.999999999999997E-2</v>
      </c>
      <c r="N22" s="54">
        <f t="shared" si="4"/>
        <v>4.0000000000000008E-2</v>
      </c>
      <c r="O22" s="54">
        <f t="shared" si="4"/>
        <v>0.03</v>
      </c>
      <c r="P22" s="54">
        <f t="shared" si="4"/>
        <v>2.399999999999999E-2</v>
      </c>
      <c r="Q22" s="54">
        <f t="shared" si="4"/>
        <v>1.9999999999999993E-2</v>
      </c>
      <c r="R22" s="54">
        <f t="shared" si="4"/>
        <v>1.7142857142857144E-2</v>
      </c>
      <c r="S22" s="54">
        <f t="shared" si="4"/>
        <v>1.4999999999999996E-2</v>
      </c>
      <c r="T22" s="54">
        <f t="shared" si="4"/>
        <v>1.3333333333333326E-2</v>
      </c>
      <c r="U22" s="54">
        <f>POWER(10,LOG($A$22)-((LOG(U17)-LOG(0.6))))</f>
        <v>1.1999999999999999E-2</v>
      </c>
      <c r="V22" s="54">
        <f t="shared" si="4"/>
        <v>5.9999999999999984E-3</v>
      </c>
      <c r="W22" s="54">
        <f t="shared" si="4"/>
        <v>3.9999999999999983E-3</v>
      </c>
      <c r="X22" s="54">
        <f t="shared" si="4"/>
        <v>2.9999999999999992E-3</v>
      </c>
      <c r="Y22" s="54">
        <f t="shared" si="4"/>
        <v>2.4000000000000015E-3</v>
      </c>
      <c r="Z22" s="54">
        <f t="shared" si="4"/>
        <v>1.9999999999999987E-3</v>
      </c>
      <c r="AA22" s="54">
        <f t="shared" si="4"/>
        <v>1.7142857142857122E-3</v>
      </c>
      <c r="AB22" s="54">
        <f t="shared" si="4"/>
        <v>1.4999999999999994E-3</v>
      </c>
      <c r="AC22" s="54">
        <f t="shared" si="4"/>
        <v>1.3333333333333324E-3</v>
      </c>
      <c r="AD22" s="54">
        <f t="shared" si="4"/>
        <v>1.1999999999999984E-3</v>
      </c>
    </row>
    <row r="23" spans="1:30" s="56" customFormat="1" x14ac:dyDescent="0.25">
      <c r="A23" s="59">
        <v>0.5</v>
      </c>
      <c r="B23" s="59">
        <v>6</v>
      </c>
      <c r="C23" s="55">
        <v>0.5</v>
      </c>
      <c r="D23" s="55">
        <v>0.5</v>
      </c>
      <c r="E23" s="55">
        <v>0.5</v>
      </c>
      <c r="F23" s="55">
        <v>0.5</v>
      </c>
      <c r="G23" s="55">
        <v>0.5</v>
      </c>
      <c r="H23" s="54">
        <f t="shared" ref="H23:AD23" si="5">POWER(10,LOG($A$23)-((LOG(H17)-LOG(0.6))))</f>
        <v>0.5</v>
      </c>
      <c r="I23" s="54">
        <f t="shared" si="5"/>
        <v>0.42857142857142844</v>
      </c>
      <c r="J23" s="54">
        <f t="shared" si="5"/>
        <v>0.37499999999999989</v>
      </c>
      <c r="K23" s="54">
        <f t="shared" si="5"/>
        <v>0.33333333333333326</v>
      </c>
      <c r="L23" s="54">
        <f t="shared" si="5"/>
        <v>0.29999999999999993</v>
      </c>
      <c r="M23" s="54">
        <f t="shared" si="5"/>
        <v>0.14999999999999994</v>
      </c>
      <c r="N23" s="54">
        <f t="shared" si="5"/>
        <v>0.1</v>
      </c>
      <c r="O23" s="54">
        <f t="shared" si="5"/>
        <v>7.4999999999999997E-2</v>
      </c>
      <c r="P23" s="54">
        <f t="shared" si="5"/>
        <v>5.999999999999997E-2</v>
      </c>
      <c r="Q23" s="54">
        <f t="shared" si="5"/>
        <v>4.9999999999999982E-2</v>
      </c>
      <c r="R23" s="54">
        <f t="shared" si="5"/>
        <v>4.285714285714283E-2</v>
      </c>
      <c r="S23" s="54">
        <f t="shared" si="5"/>
        <v>3.7499999999999992E-2</v>
      </c>
      <c r="T23" s="54">
        <f t="shared" si="5"/>
        <v>3.3333333333333319E-2</v>
      </c>
      <c r="U23" s="54">
        <f t="shared" si="5"/>
        <v>2.9999999999999985E-2</v>
      </c>
      <c r="V23" s="54">
        <f t="shared" si="5"/>
        <v>1.4999999999999982E-2</v>
      </c>
      <c r="W23" s="54">
        <f t="shared" si="5"/>
        <v>0.01</v>
      </c>
      <c r="X23" s="54">
        <f t="shared" si="5"/>
        <v>7.499999999999998E-3</v>
      </c>
      <c r="Y23" s="54">
        <f t="shared" si="5"/>
        <v>5.9999999999999984E-3</v>
      </c>
      <c r="Z23" s="54">
        <f t="shared" si="5"/>
        <v>4.9999999999999975E-3</v>
      </c>
      <c r="AA23" s="54">
        <f t="shared" si="5"/>
        <v>4.2857142857142807E-3</v>
      </c>
      <c r="AB23" s="54">
        <f t="shared" si="5"/>
        <v>3.749999999999999E-3</v>
      </c>
      <c r="AC23" s="54">
        <f t="shared" si="5"/>
        <v>3.3333333333333309E-3</v>
      </c>
      <c r="AD23" s="54">
        <f t="shared" si="5"/>
        <v>2.9999999999999962E-3</v>
      </c>
    </row>
    <row r="24" spans="1:30" x14ac:dyDescent="0.25">
      <c r="A24" s="59">
        <v>1</v>
      </c>
      <c r="B24" s="59">
        <v>7</v>
      </c>
      <c r="C24" s="57">
        <f>A24</f>
        <v>1</v>
      </c>
      <c r="D24" s="57">
        <f>A24</f>
        <v>1</v>
      </c>
      <c r="E24" s="57">
        <f>A24</f>
        <v>1</v>
      </c>
      <c r="F24" s="57">
        <f>A24</f>
        <v>1</v>
      </c>
      <c r="G24" s="53">
        <f t="shared" ref="G24:L24" si="6">POWER(10,LOG($A$23)-((LOG(G17))))</f>
        <v>1</v>
      </c>
      <c r="H24" s="53">
        <f t="shared" si="6"/>
        <v>0.83333333333333337</v>
      </c>
      <c r="I24" s="53">
        <f t="shared" si="6"/>
        <v>0.71428571428571419</v>
      </c>
      <c r="J24" s="53">
        <f t="shared" si="6"/>
        <v>0.625</v>
      </c>
      <c r="K24" s="53">
        <f t="shared" si="6"/>
        <v>0.55555555555555558</v>
      </c>
      <c r="L24" s="53">
        <f t="shared" si="6"/>
        <v>0.5</v>
      </c>
      <c r="M24" s="58">
        <f>POWER(10,LOG($A$23)-((LOG(M17)-LOG(0.6))))</f>
        <v>0.14999999999999994</v>
      </c>
      <c r="N24" s="58">
        <f t="shared" ref="N24:AD24" si="7">POWER(10,LOG($A$23)-((LOG(N17)-LOG(0.6))))</f>
        <v>0.1</v>
      </c>
      <c r="O24" s="58">
        <f t="shared" si="7"/>
        <v>7.4999999999999997E-2</v>
      </c>
      <c r="P24" s="58">
        <f t="shared" si="7"/>
        <v>5.999999999999997E-2</v>
      </c>
      <c r="Q24" s="58">
        <f t="shared" si="7"/>
        <v>4.9999999999999982E-2</v>
      </c>
      <c r="R24" s="58">
        <f t="shared" si="7"/>
        <v>4.285714285714283E-2</v>
      </c>
      <c r="S24" s="58">
        <f t="shared" si="7"/>
        <v>3.7499999999999992E-2</v>
      </c>
      <c r="T24" s="58">
        <f t="shared" si="7"/>
        <v>3.3333333333333319E-2</v>
      </c>
      <c r="U24" s="58">
        <f t="shared" si="7"/>
        <v>2.9999999999999985E-2</v>
      </c>
      <c r="V24" s="58">
        <f t="shared" si="7"/>
        <v>1.4999999999999982E-2</v>
      </c>
      <c r="W24" s="58">
        <f t="shared" si="7"/>
        <v>0.01</v>
      </c>
      <c r="X24" s="58">
        <f t="shared" si="7"/>
        <v>7.499999999999998E-3</v>
      </c>
      <c r="Y24" s="58">
        <f t="shared" si="7"/>
        <v>5.9999999999999984E-3</v>
      </c>
      <c r="Z24" s="58">
        <f t="shared" si="7"/>
        <v>4.9999999999999975E-3</v>
      </c>
      <c r="AA24" s="58">
        <f t="shared" si="7"/>
        <v>4.2857142857142807E-3</v>
      </c>
      <c r="AB24" s="58">
        <f t="shared" si="7"/>
        <v>3.749999999999999E-3</v>
      </c>
      <c r="AC24" s="58">
        <f t="shared" si="7"/>
        <v>3.3333333333333309E-3</v>
      </c>
      <c r="AD24" s="58">
        <f t="shared" si="7"/>
        <v>2.9999999999999962E-3</v>
      </c>
    </row>
    <row r="25" spans="1:30" x14ac:dyDescent="0.25">
      <c r="A25" s="59">
        <v>2</v>
      </c>
      <c r="B25" s="59">
        <v>8</v>
      </c>
      <c r="C25" s="57">
        <f>A25</f>
        <v>2</v>
      </c>
      <c r="D25" s="57">
        <f>A25</f>
        <v>2</v>
      </c>
      <c r="E25" s="57">
        <f>A25</f>
        <v>2</v>
      </c>
      <c r="F25" s="57">
        <f>A25</f>
        <v>2</v>
      </c>
      <c r="G25" s="53">
        <f t="shared" ref="G25:L25" si="8">POWER(10,LOG($A$23)-((LOG(G17))))</f>
        <v>1</v>
      </c>
      <c r="H25" s="53">
        <f t="shared" si="8"/>
        <v>0.83333333333333337</v>
      </c>
      <c r="I25" s="53">
        <f t="shared" si="8"/>
        <v>0.71428571428571419</v>
      </c>
      <c r="J25" s="53">
        <f t="shared" si="8"/>
        <v>0.625</v>
      </c>
      <c r="K25" s="53">
        <f t="shared" si="8"/>
        <v>0.55555555555555558</v>
      </c>
      <c r="L25" s="53">
        <f t="shared" si="8"/>
        <v>0.5</v>
      </c>
      <c r="M25" s="58">
        <f>POWER(10,LOG($A$23)-((LOG(M17)-LOG(0.6))))</f>
        <v>0.14999999999999994</v>
      </c>
      <c r="N25" s="58">
        <f t="shared" ref="N25:AD25" si="9">POWER(10,LOG($A$23)-((LOG(N17)-LOG(0.6))))</f>
        <v>0.1</v>
      </c>
      <c r="O25" s="58">
        <f t="shared" si="9"/>
        <v>7.4999999999999997E-2</v>
      </c>
      <c r="P25" s="58">
        <f t="shared" si="9"/>
        <v>5.999999999999997E-2</v>
      </c>
      <c r="Q25" s="58">
        <f t="shared" si="9"/>
        <v>4.9999999999999982E-2</v>
      </c>
      <c r="R25" s="58">
        <f t="shared" si="9"/>
        <v>4.285714285714283E-2</v>
      </c>
      <c r="S25" s="58">
        <f t="shared" si="9"/>
        <v>3.7499999999999992E-2</v>
      </c>
      <c r="T25" s="58">
        <f t="shared" si="9"/>
        <v>3.3333333333333319E-2</v>
      </c>
      <c r="U25" s="58">
        <f t="shared" si="9"/>
        <v>2.9999999999999985E-2</v>
      </c>
      <c r="V25" s="58">
        <f t="shared" si="9"/>
        <v>1.4999999999999982E-2</v>
      </c>
      <c r="W25" s="58">
        <f t="shared" si="9"/>
        <v>0.01</v>
      </c>
      <c r="X25" s="58">
        <f t="shared" si="9"/>
        <v>7.499999999999998E-3</v>
      </c>
      <c r="Y25" s="58">
        <f t="shared" si="9"/>
        <v>5.9999999999999984E-3</v>
      </c>
      <c r="Z25" s="58">
        <f t="shared" si="9"/>
        <v>4.9999999999999975E-3</v>
      </c>
      <c r="AA25" s="58">
        <f t="shared" si="9"/>
        <v>4.2857142857142807E-3</v>
      </c>
      <c r="AB25" s="58">
        <f t="shared" si="9"/>
        <v>3.749999999999999E-3</v>
      </c>
      <c r="AC25" s="58">
        <f t="shared" si="9"/>
        <v>3.3333333333333309E-3</v>
      </c>
      <c r="AD25" s="58">
        <f t="shared" si="9"/>
        <v>2.9999999999999962E-3</v>
      </c>
    </row>
    <row r="26" spans="1:30" x14ac:dyDescent="0.25">
      <c r="A26" s="59">
        <v>5</v>
      </c>
      <c r="B26" s="59">
        <v>9</v>
      </c>
      <c r="C26" s="57">
        <f>A26</f>
        <v>5</v>
      </c>
      <c r="D26" s="57">
        <f>A26</f>
        <v>5</v>
      </c>
      <c r="E26" s="57">
        <f>A26</f>
        <v>5</v>
      </c>
      <c r="F26" s="53">
        <f>A26</f>
        <v>5</v>
      </c>
      <c r="G26" s="53">
        <f>A26</f>
        <v>5</v>
      </c>
      <c r="H26" s="53">
        <f>POWER(10,LOG($A$23)-((LOG(H17))))</f>
        <v>0.83333333333333337</v>
      </c>
      <c r="I26" s="53">
        <f>POWER(10,LOG($A$23)-((LOG(I17))))</f>
        <v>0.71428571428571419</v>
      </c>
      <c r="J26" s="53">
        <f>POWER(10,LOG($A$23)-((LOG(J17))))</f>
        <v>0.625</v>
      </c>
      <c r="K26" s="53">
        <f>POWER(10,LOG($A$23)-((LOG(K17))))</f>
        <v>0.55555555555555558</v>
      </c>
      <c r="L26" s="53">
        <f>POWER(10,LOG($A$23)-((LOG(L17))))</f>
        <v>0.5</v>
      </c>
      <c r="M26" s="58">
        <f>POWER(10,LOG($A$23)-((LOG(M17)-LOG(0.6))))</f>
        <v>0.14999999999999994</v>
      </c>
      <c r="N26" s="58">
        <f t="shared" ref="N26:AD26" si="10">POWER(10,LOG($A$23)-((LOG(N17)-LOG(0.6))))</f>
        <v>0.1</v>
      </c>
      <c r="O26" s="58">
        <f t="shared" si="10"/>
        <v>7.4999999999999997E-2</v>
      </c>
      <c r="P26" s="58">
        <f t="shared" si="10"/>
        <v>5.999999999999997E-2</v>
      </c>
      <c r="Q26" s="58">
        <f t="shared" si="10"/>
        <v>4.9999999999999982E-2</v>
      </c>
      <c r="R26" s="58">
        <f t="shared" si="10"/>
        <v>4.285714285714283E-2</v>
      </c>
      <c r="S26" s="58">
        <f t="shared" si="10"/>
        <v>3.7499999999999992E-2</v>
      </c>
      <c r="T26" s="58">
        <f t="shared" si="10"/>
        <v>3.3333333333333319E-2</v>
      </c>
      <c r="U26" s="58">
        <f t="shared" si="10"/>
        <v>2.9999999999999985E-2</v>
      </c>
      <c r="V26" s="58">
        <f t="shared" si="10"/>
        <v>1.4999999999999982E-2</v>
      </c>
      <c r="W26" s="58">
        <f t="shared" si="10"/>
        <v>0.01</v>
      </c>
      <c r="X26" s="58">
        <f t="shared" si="10"/>
        <v>7.499999999999998E-3</v>
      </c>
      <c r="Y26" s="58">
        <f t="shared" si="10"/>
        <v>5.9999999999999984E-3</v>
      </c>
      <c r="Z26" s="58">
        <f t="shared" si="10"/>
        <v>4.9999999999999975E-3</v>
      </c>
      <c r="AA26" s="58">
        <f t="shared" si="10"/>
        <v>4.2857142857142807E-3</v>
      </c>
      <c r="AB26" s="58">
        <f t="shared" si="10"/>
        <v>3.749999999999999E-3</v>
      </c>
      <c r="AC26" s="58">
        <f t="shared" si="10"/>
        <v>3.3333333333333309E-3</v>
      </c>
      <c r="AD26" s="58">
        <f t="shared" si="10"/>
        <v>2.9999999999999962E-3</v>
      </c>
    </row>
    <row r="27" spans="1:30" x14ac:dyDescent="0.25">
      <c r="A27" s="59">
        <v>10</v>
      </c>
      <c r="B27" s="59">
        <v>10</v>
      </c>
      <c r="C27" s="57">
        <f>A27</f>
        <v>10</v>
      </c>
      <c r="D27" s="57">
        <f>A27</f>
        <v>10</v>
      </c>
      <c r="E27" s="53">
        <f>POWER(10,LOG(A25)-((LOG(E17))))</f>
        <v>6.6666666666666696</v>
      </c>
      <c r="F27" s="53">
        <f>POWER(10,LOG(A24)-((LOG(F17))))</f>
        <v>2.5</v>
      </c>
      <c r="G27" s="53">
        <f>POWER(10,LOG(A24)-((LOG(G17))))</f>
        <v>2</v>
      </c>
      <c r="H27" s="53">
        <f>POWER(10,LOG($A$23)-((LOG(H17))))</f>
        <v>0.83333333333333337</v>
      </c>
      <c r="I27" s="53">
        <f>POWER(10,LOG($A$23)-((LOG(I17))))</f>
        <v>0.71428571428571419</v>
      </c>
      <c r="J27" s="53">
        <f>POWER(10,LOG($A$23)-((LOG(J17))))</f>
        <v>0.625</v>
      </c>
      <c r="K27" s="53">
        <f>POWER(10,LOG($A$23)-((LOG(K17))))</f>
        <v>0.55555555555555558</v>
      </c>
      <c r="L27" s="53">
        <f>POWER(10,LOG($A$23)-((LOG(L17))))</f>
        <v>0.5</v>
      </c>
      <c r="M27" s="58">
        <f>POWER(10,LOG($A$23)-((LOG(M17)-LOG(0.6))))</f>
        <v>0.14999999999999994</v>
      </c>
      <c r="N27" s="58">
        <f t="shared" ref="N27:AD27" si="11">POWER(10,LOG($A$23)-((LOG(N17)-LOG(0.6))))</f>
        <v>0.1</v>
      </c>
      <c r="O27" s="58">
        <f t="shared" si="11"/>
        <v>7.4999999999999997E-2</v>
      </c>
      <c r="P27" s="58">
        <f t="shared" si="11"/>
        <v>5.999999999999997E-2</v>
      </c>
      <c r="Q27" s="58">
        <f t="shared" si="11"/>
        <v>4.9999999999999982E-2</v>
      </c>
      <c r="R27" s="58">
        <f t="shared" si="11"/>
        <v>4.285714285714283E-2</v>
      </c>
      <c r="S27" s="58">
        <f t="shared" si="11"/>
        <v>3.7499999999999992E-2</v>
      </c>
      <c r="T27" s="58">
        <f t="shared" si="11"/>
        <v>3.3333333333333319E-2</v>
      </c>
      <c r="U27" s="58">
        <f t="shared" si="11"/>
        <v>2.9999999999999985E-2</v>
      </c>
      <c r="V27" s="58">
        <f t="shared" si="11"/>
        <v>1.4999999999999982E-2</v>
      </c>
      <c r="W27" s="58">
        <f t="shared" si="11"/>
        <v>0.01</v>
      </c>
      <c r="X27" s="58">
        <f t="shared" si="11"/>
        <v>7.499999999999998E-3</v>
      </c>
      <c r="Y27" s="58">
        <f t="shared" si="11"/>
        <v>5.9999999999999984E-3</v>
      </c>
      <c r="Z27" s="58">
        <f t="shared" si="11"/>
        <v>4.9999999999999975E-3</v>
      </c>
      <c r="AA27" s="58">
        <f t="shared" si="11"/>
        <v>4.2857142857142807E-3</v>
      </c>
      <c r="AB27" s="58">
        <f t="shared" si="11"/>
        <v>3.749999999999999E-3</v>
      </c>
      <c r="AC27" s="58">
        <f t="shared" si="11"/>
        <v>3.3333333333333309E-3</v>
      </c>
      <c r="AD27" s="58">
        <f t="shared" si="11"/>
        <v>2.9999999999999962E-3</v>
      </c>
    </row>
    <row r="29" spans="1:30" x14ac:dyDescent="0.25">
      <c r="L29" t="s">
        <v>103</v>
      </c>
      <c r="M29">
        <v>1</v>
      </c>
    </row>
    <row r="30" spans="1:30" x14ac:dyDescent="0.25">
      <c r="L30" t="s">
        <v>34</v>
      </c>
      <c r="M30">
        <v>8</v>
      </c>
      <c r="N30" s="31">
        <f>LOG(1)</f>
        <v>0</v>
      </c>
    </row>
    <row r="31" spans="1:30" x14ac:dyDescent="0.25">
      <c r="L31" t="s">
        <v>35</v>
      </c>
      <c r="M31">
        <f>LOG(M29)-LOG(M30)</f>
        <v>-0.90308998699194354</v>
      </c>
      <c r="N31">
        <f>POWER(10,M31)</f>
        <v>0.12499999999999997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10</vt:i4>
      </vt:variant>
    </vt:vector>
  </HeadingPairs>
  <TitlesOfParts>
    <vt:vector size="18" baseType="lpstr">
      <vt:lpstr>Logigramme</vt:lpstr>
      <vt:lpstr>Zone encombrée</vt:lpstr>
      <vt:lpstr>UVCE</vt:lpstr>
      <vt:lpstr>Feuil2</vt:lpstr>
      <vt:lpstr>Scénarii</vt:lpstr>
      <vt:lpstr>Bd</vt:lpstr>
      <vt:lpstr>Indice</vt:lpstr>
      <vt:lpstr>Feuil3</vt:lpstr>
      <vt:lpstr>Ind</vt:lpstr>
      <vt:lpstr>Indice</vt:lpstr>
      <vt:lpstr>nom</vt:lpstr>
      <vt:lpstr>tx_recouvrement</vt:lpstr>
      <vt:lpstr>typo_zone</vt:lpstr>
      <vt:lpstr>val_indice</vt:lpstr>
      <vt:lpstr>Bd!Zone_d_impression</vt:lpstr>
      <vt:lpstr>Indice!Zone_d_impression</vt:lpstr>
      <vt:lpstr>Logigramme!Zone_d_impression</vt:lpstr>
      <vt:lpstr>UVCE!Zone_d_impression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dimitri.pelletier</dc:creator>
  <cp:lastModifiedBy>domi</cp:lastModifiedBy>
  <cp:lastPrinted>2011-08-30T21:54:17Z</cp:lastPrinted>
  <dcterms:created xsi:type="dcterms:W3CDTF">2011-06-14T21:20:24Z</dcterms:created>
  <dcterms:modified xsi:type="dcterms:W3CDTF">2017-10-02T15:50:37Z</dcterms:modified>
</cp:coreProperties>
</file>